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G:\Business Administration\Extracurricular Stipends\"/>
    </mc:Choice>
  </mc:AlternateContent>
  <xr:revisionPtr revIDLastSave="0" documentId="13_ncr:1_{E4201872-EC44-4C67-A398-518A219BE43A}" xr6:coauthVersionLast="47" xr6:coauthVersionMax="47" xr10:uidLastSave="{00000000-0000-0000-0000-000000000000}"/>
  <bookViews>
    <workbookView xWindow="-23148" yWindow="-108" windowWidth="23256" windowHeight="12576" tabRatio="730" activeTab="3" xr2:uid="{00000000-000D-0000-FFFF-FFFF00000000}"/>
  </bookViews>
  <sheets>
    <sheet name="HS - Positions and Funding" sheetId="17" r:id="rId1"/>
    <sheet name="HS - Lane and Step Schedule" sheetId="15" r:id="rId2"/>
    <sheet name="JHS - Positions and Funding" sheetId="95" r:id="rId3"/>
    <sheet name="HS - Fall Sports" sheetId="91" r:id="rId4"/>
    <sheet name="HS - Fall Activities" sheetId="103" r:id="rId5"/>
    <sheet name="HS - Year Round Sports" sheetId="94" r:id="rId6"/>
    <sheet name="HS - Year Round Activities" sheetId="105" r:id="rId7"/>
    <sheet name="HS - Oversight" sheetId="101" r:id="rId8"/>
    <sheet name="HS - Winter Sports" sheetId="92" r:id="rId9"/>
    <sheet name="HS - Winter Activities" sheetId="104" r:id="rId10"/>
    <sheet name="HS - Spring Sports" sheetId="93" r:id="rId11"/>
    <sheet name="JHS - Fall Sports" sheetId="96" r:id="rId12"/>
    <sheet name="JHS - Year Round Activities" sheetId="100" r:id="rId13"/>
    <sheet name="JHS - Oversight" sheetId="102" r:id="rId14"/>
    <sheet name="JHS - Winter Sports" sheetId="97" r:id="rId15"/>
    <sheet name="JHS - Spring Sports" sheetId="99" r:id="rId16"/>
    <sheet name="Tables" sheetId="23" r:id="rId17"/>
  </sheets>
  <externalReferences>
    <externalReference r:id="rId18"/>
    <externalReference r:id="rId19"/>
  </externalReferences>
  <definedNames>
    <definedName name="_xlnm._FilterDatabase" localSheetId="0" hidden="1">'HS - Positions and Funding'!$A$5:$U$89</definedName>
    <definedName name="LocationNumbers">'[1]Location and Vendor Numbers'!$A$6:$A$53</definedName>
    <definedName name="_xlnm.Print_Area" localSheetId="4">'HS - Fall Activities'!$A$1:$Q$65</definedName>
    <definedName name="_xlnm.Print_Area" localSheetId="3">'HS - Fall Sports'!$A$1:$Q$99</definedName>
    <definedName name="_xlnm.Print_Area" localSheetId="1">'HS - Lane and Step Schedule'!$A$1:$U$25</definedName>
    <definedName name="_xlnm.Print_Area" localSheetId="7">'HS - Oversight'!$A$1:$Q$54</definedName>
    <definedName name="_xlnm.Print_Area" localSheetId="10">'HS - Spring Sports'!$A$1:$Q$116</definedName>
    <definedName name="_xlnm.Print_Area" localSheetId="9">'HS - Winter Activities'!$A$1:$Q$58</definedName>
    <definedName name="_xlnm.Print_Area" localSheetId="8">'HS - Winter Sports'!$A$1:$Q$95</definedName>
    <definedName name="_xlnm.Print_Area" localSheetId="6">'HS - Year Round Activities'!$A$1:$Q$82</definedName>
    <definedName name="_xlnm.Print_Area" localSheetId="5">'HS - Year Round Sports'!$A$1:$Q$60</definedName>
    <definedName name="_xlnm.Print_Area" localSheetId="11">'JHS - Fall Sports'!$A$1:$Q$73</definedName>
    <definedName name="_xlnm.Print_Area" localSheetId="13">'JHS - Oversight'!$A$1:$Q$52</definedName>
    <definedName name="_xlnm.Print_Area" localSheetId="15">'JHS - Spring Sports'!$A$1:$Q$73</definedName>
    <definedName name="_xlnm.Print_Area" localSheetId="14">'JHS - Winter Sports'!$A$1:$Q$58</definedName>
    <definedName name="_xlnm.Print_Area" localSheetId="12">'JHS - Year Round Activities'!$A$1:$Q$52</definedName>
    <definedName name="_xlnm.Print_Titles" localSheetId="4">'HS - Fall Activities'!$1:$5</definedName>
    <definedName name="_xlnm.Print_Titles" localSheetId="3">'HS - Fall Sports'!$1:$5</definedName>
    <definedName name="_xlnm.Print_Titles" localSheetId="7">'HS - Oversight'!$1:$5</definedName>
    <definedName name="_xlnm.Print_Titles" localSheetId="0">'HS - Positions and Funding'!$1:$5</definedName>
    <definedName name="_xlnm.Print_Titles" localSheetId="10">'HS - Spring Sports'!$1:$5</definedName>
    <definedName name="_xlnm.Print_Titles" localSheetId="9">'HS - Winter Activities'!$1:$5</definedName>
    <definedName name="_xlnm.Print_Titles" localSheetId="8">'HS - Winter Sports'!$1:$5</definedName>
    <definedName name="_xlnm.Print_Titles" localSheetId="6">'HS - Year Round Activities'!$1:$5</definedName>
    <definedName name="_xlnm.Print_Titles" localSheetId="5">'HS - Year Round Sports'!$1:$5</definedName>
    <definedName name="_xlnm.Print_Titles" localSheetId="11">'JHS - Fall Sports'!$1:$5</definedName>
    <definedName name="_xlnm.Print_Titles" localSheetId="13">'JHS - Oversight'!$1:$5</definedName>
    <definedName name="_xlnm.Print_Titles" localSheetId="2">'JHS - Positions and Funding'!$1:$5</definedName>
    <definedName name="_xlnm.Print_Titles" localSheetId="15">'JHS - Spring Sports'!$1:$5</definedName>
    <definedName name="_xlnm.Print_Titles" localSheetId="14">'JHS - Winter Sports'!$1:$5</definedName>
    <definedName name="_xlnm.Print_Titles" localSheetId="12">'JHS - Year Round Activities'!$1:$5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2" i="105" l="1"/>
  <c r="P82" i="105"/>
  <c r="O82" i="105"/>
  <c r="N82" i="105"/>
  <c r="F52" i="101"/>
  <c r="F51" i="101"/>
  <c r="F49" i="101"/>
  <c r="Q52" i="101"/>
  <c r="N52" i="101"/>
  <c r="F50" i="104"/>
  <c r="F49" i="104"/>
  <c r="F55" i="104"/>
  <c r="F56" i="104"/>
  <c r="Q55" i="104"/>
  <c r="N55" i="104"/>
  <c r="F53" i="104"/>
  <c r="F52" i="104"/>
  <c r="Q52" i="104"/>
  <c r="N52" i="104"/>
  <c r="L4" i="95"/>
  <c r="P54" i="104" l="1"/>
  <c r="D13" i="104" s="1"/>
  <c r="O54" i="104"/>
  <c r="D54" i="104"/>
  <c r="Q53" i="104"/>
  <c r="N53" i="104"/>
  <c r="Y81" i="17"/>
  <c r="X81" i="17"/>
  <c r="N81" i="17"/>
  <c r="L81" i="17"/>
  <c r="J81" i="17"/>
  <c r="D81" i="17"/>
  <c r="Y80" i="17"/>
  <c r="X80" i="17"/>
  <c r="N80" i="17"/>
  <c r="L80" i="17"/>
  <c r="J80" i="17"/>
  <c r="D80" i="17"/>
  <c r="Q70" i="93"/>
  <c r="N70" i="93"/>
  <c r="Q64" i="93"/>
  <c r="N64" i="93"/>
  <c r="P49" i="17"/>
  <c r="P47" i="17"/>
  <c r="Q54" i="104" l="1"/>
  <c r="N54" i="104"/>
  <c r="E13" i="104"/>
  <c r="F13" i="104" s="1"/>
  <c r="L15" i="95"/>
  <c r="M15" i="95" s="1"/>
  <c r="N15" i="95" s="1"/>
  <c r="M37" i="95"/>
  <c r="L37" i="95"/>
  <c r="K35" i="95"/>
  <c r="K33" i="95"/>
  <c r="L13" i="95"/>
  <c r="M13" i="95" s="1"/>
  <c r="N13" i="95" s="1"/>
  <c r="L12" i="95"/>
  <c r="M12" i="95" s="1"/>
  <c r="N12" i="95" s="1"/>
  <c r="P56" i="105"/>
  <c r="D13" i="105" s="1"/>
  <c r="E13" i="105" s="1"/>
  <c r="F13" i="105" s="1"/>
  <c r="O56" i="105"/>
  <c r="Q56" i="105" s="1"/>
  <c r="D56" i="105"/>
  <c r="Q55" i="105"/>
  <c r="N55" i="105"/>
  <c r="Q54" i="105"/>
  <c r="N54" i="105"/>
  <c r="Q53" i="105"/>
  <c r="N53" i="105"/>
  <c r="Y11" i="17"/>
  <c r="X11" i="17"/>
  <c r="N11" i="17"/>
  <c r="L11" i="17"/>
  <c r="J11" i="17"/>
  <c r="D11" i="17"/>
  <c r="Y10" i="17"/>
  <c r="X10" i="17"/>
  <c r="N10" i="17"/>
  <c r="L10" i="17"/>
  <c r="J10" i="17"/>
  <c r="D10" i="17"/>
  <c r="Q71" i="93"/>
  <c r="N71" i="93"/>
  <c r="Q63" i="93"/>
  <c r="N63" i="93"/>
  <c r="Y89" i="17"/>
  <c r="X89" i="17"/>
  <c r="Y88" i="17"/>
  <c r="X88" i="17"/>
  <c r="Y87" i="17"/>
  <c r="X87" i="17"/>
  <c r="Y86" i="17"/>
  <c r="X86" i="17"/>
  <c r="Y85" i="17"/>
  <c r="X85" i="17"/>
  <c r="Y84" i="17"/>
  <c r="X84" i="17"/>
  <c r="Y83" i="17"/>
  <c r="X83" i="17"/>
  <c r="Y82" i="17"/>
  <c r="X82" i="17"/>
  <c r="Y79" i="17"/>
  <c r="X79" i="17"/>
  <c r="Y78" i="17"/>
  <c r="X78" i="17"/>
  <c r="Y77" i="17"/>
  <c r="X77" i="17"/>
  <c r="Y76" i="17"/>
  <c r="X76" i="17"/>
  <c r="Y75" i="17"/>
  <c r="X75" i="17"/>
  <c r="Y74" i="17"/>
  <c r="X74" i="17"/>
  <c r="Y73" i="17"/>
  <c r="X73" i="17"/>
  <c r="Y72" i="17"/>
  <c r="X72" i="17"/>
  <c r="Y71" i="17"/>
  <c r="X71" i="17"/>
  <c r="Y70" i="17"/>
  <c r="X70" i="17"/>
  <c r="Y69" i="17"/>
  <c r="X69" i="17"/>
  <c r="Y68" i="17"/>
  <c r="X68" i="17"/>
  <c r="Y67" i="17"/>
  <c r="X67" i="17"/>
  <c r="Y66" i="17"/>
  <c r="X66" i="17"/>
  <c r="Y65" i="17"/>
  <c r="X65" i="17"/>
  <c r="Y64" i="17"/>
  <c r="X64" i="17"/>
  <c r="Y63" i="17"/>
  <c r="X63" i="17"/>
  <c r="Y62" i="17"/>
  <c r="X62" i="17"/>
  <c r="Y61" i="17"/>
  <c r="X61" i="17"/>
  <c r="Y60" i="17"/>
  <c r="X60" i="17"/>
  <c r="Y59" i="17"/>
  <c r="X59" i="17"/>
  <c r="Y58" i="17"/>
  <c r="X58" i="17"/>
  <c r="Y57" i="17"/>
  <c r="X57" i="17"/>
  <c r="Y56" i="17"/>
  <c r="X56" i="17"/>
  <c r="Y55" i="17"/>
  <c r="X55" i="17"/>
  <c r="Y54" i="17"/>
  <c r="X54" i="17"/>
  <c r="Y53" i="17"/>
  <c r="X53" i="17"/>
  <c r="Y52" i="17"/>
  <c r="X52" i="17"/>
  <c r="Y51" i="17"/>
  <c r="X51" i="17"/>
  <c r="Y50" i="17"/>
  <c r="X50" i="17"/>
  <c r="Y49" i="17"/>
  <c r="X49" i="17"/>
  <c r="Y48" i="17"/>
  <c r="X48" i="17"/>
  <c r="Y47" i="17"/>
  <c r="X47" i="17"/>
  <c r="Y46" i="17"/>
  <c r="X46" i="17"/>
  <c r="Y45" i="17"/>
  <c r="X45" i="17"/>
  <c r="Y44" i="17"/>
  <c r="X44" i="17"/>
  <c r="Y43" i="17"/>
  <c r="X43" i="17"/>
  <c r="Y42" i="17"/>
  <c r="X42" i="17"/>
  <c r="Y41" i="17"/>
  <c r="X41" i="17"/>
  <c r="Y40" i="17"/>
  <c r="X40" i="17"/>
  <c r="Y39" i="17"/>
  <c r="X39" i="17"/>
  <c r="Y38" i="17"/>
  <c r="X38" i="17"/>
  <c r="Y37" i="17"/>
  <c r="X37" i="17"/>
  <c r="Y36" i="17"/>
  <c r="X36" i="17"/>
  <c r="Y35" i="17"/>
  <c r="X35" i="17"/>
  <c r="Y34" i="17"/>
  <c r="X34" i="17"/>
  <c r="Y33" i="17"/>
  <c r="X33" i="17"/>
  <c r="Y32" i="17"/>
  <c r="X32" i="17"/>
  <c r="Y31" i="17"/>
  <c r="X31" i="17"/>
  <c r="Y30" i="17"/>
  <c r="X30" i="17"/>
  <c r="Y29" i="17"/>
  <c r="X29" i="17"/>
  <c r="Y28" i="17"/>
  <c r="X28" i="17"/>
  <c r="Y27" i="17"/>
  <c r="X27" i="17"/>
  <c r="Y26" i="17"/>
  <c r="X26" i="17"/>
  <c r="Y25" i="17"/>
  <c r="X25" i="17"/>
  <c r="Y24" i="17"/>
  <c r="X24" i="17"/>
  <c r="Y23" i="17"/>
  <c r="X23" i="17"/>
  <c r="Y22" i="17"/>
  <c r="X22" i="17"/>
  <c r="Y21" i="17"/>
  <c r="X21" i="17"/>
  <c r="Y20" i="17"/>
  <c r="X20" i="17"/>
  <c r="Y19" i="17"/>
  <c r="X19" i="17"/>
  <c r="Y18" i="17"/>
  <c r="X18" i="17"/>
  <c r="Y17" i="17"/>
  <c r="X17" i="17"/>
  <c r="Y16" i="17"/>
  <c r="X16" i="17"/>
  <c r="Y15" i="17"/>
  <c r="X15" i="17"/>
  <c r="Y14" i="17"/>
  <c r="X14" i="17"/>
  <c r="Y13" i="17"/>
  <c r="X13" i="17"/>
  <c r="Y12" i="17"/>
  <c r="X12" i="17"/>
  <c r="Y9" i="17"/>
  <c r="X9" i="17"/>
  <c r="Y8" i="17"/>
  <c r="X8" i="17"/>
  <c r="Y7" i="17"/>
  <c r="Y6" i="17"/>
  <c r="X7" i="17"/>
  <c r="X6" i="17"/>
  <c r="Q95" i="91"/>
  <c r="N95" i="91"/>
  <c r="Q112" i="93"/>
  <c r="N112" i="93"/>
  <c r="Q65" i="92"/>
  <c r="N65" i="92"/>
  <c r="Q64" i="92"/>
  <c r="N64" i="92"/>
  <c r="Q56" i="92"/>
  <c r="N56" i="92"/>
  <c r="Q55" i="92"/>
  <c r="N55" i="92"/>
  <c r="Q62" i="103"/>
  <c r="N62" i="103"/>
  <c r="Q58" i="103"/>
  <c r="N58" i="103"/>
  <c r="N52" i="103"/>
  <c r="Q52" i="103"/>
  <c r="N53" i="103"/>
  <c r="Q53" i="103"/>
  <c r="N54" i="103"/>
  <c r="Q54" i="103"/>
  <c r="N55" i="103"/>
  <c r="Q55" i="103"/>
  <c r="Q49" i="103"/>
  <c r="N49" i="103"/>
  <c r="D12" i="97"/>
  <c r="Q58" i="97"/>
  <c r="P58" i="97"/>
  <c r="O58" i="97"/>
  <c r="D14" i="96"/>
  <c r="Q73" i="96"/>
  <c r="P73" i="96"/>
  <c r="O73" i="96"/>
  <c r="Q73" i="99"/>
  <c r="P73" i="99"/>
  <c r="O73" i="99"/>
  <c r="D14" i="99"/>
  <c r="D13" i="99"/>
  <c r="D12" i="99"/>
  <c r="N56" i="105" l="1"/>
  <c r="L16" i="95"/>
  <c r="M16" i="95" s="1"/>
  <c r="N16" i="95" s="1"/>
  <c r="L17" i="95"/>
  <c r="M17" i="95" s="1"/>
  <c r="N17" i="95" s="1"/>
  <c r="L18" i="95"/>
  <c r="M18" i="95" s="1"/>
  <c r="N18" i="95" s="1"/>
  <c r="L20" i="95"/>
  <c r="M20" i="95" s="1"/>
  <c r="N20" i="95" s="1"/>
  <c r="L21" i="95"/>
  <c r="M21" i="95" s="1"/>
  <c r="N21" i="95" s="1"/>
  <c r="L22" i="95"/>
  <c r="M22" i="95" s="1"/>
  <c r="N22" i="95" s="1"/>
  <c r="L23" i="95"/>
  <c r="M23" i="95" s="1"/>
  <c r="N23" i="95" s="1"/>
  <c r="L24" i="95"/>
  <c r="M24" i="95" s="1"/>
  <c r="N24" i="95" s="1"/>
  <c r="L25" i="95"/>
  <c r="M25" i="95" s="1"/>
  <c r="N25" i="95" s="1"/>
  <c r="L26" i="95"/>
  <c r="M26" i="95" s="1"/>
  <c r="N26" i="95" s="1"/>
  <c r="L19" i="95"/>
  <c r="M19" i="95" s="1"/>
  <c r="N19" i="95" s="1"/>
  <c r="L27" i="95"/>
  <c r="M27" i="95" s="1"/>
  <c r="N27" i="95" s="1"/>
  <c r="L6" i="95"/>
  <c r="M6" i="95" s="1"/>
  <c r="N6" i="95" s="1"/>
  <c r="L28" i="95"/>
  <c r="M28" i="95" s="1"/>
  <c r="N28" i="95" s="1"/>
  <c r="L7" i="95"/>
  <c r="M7" i="95" s="1"/>
  <c r="N7" i="95" s="1"/>
  <c r="L29" i="95"/>
  <c r="M29" i="95" s="1"/>
  <c r="N29" i="95" s="1"/>
  <c r="L8" i="95"/>
  <c r="M8" i="95" s="1"/>
  <c r="N8" i="95" s="1"/>
  <c r="L30" i="95"/>
  <c r="M30" i="95" s="1"/>
  <c r="N30" i="95" s="1"/>
  <c r="L9" i="95"/>
  <c r="M9" i="95" s="1"/>
  <c r="N9" i="95" s="1"/>
  <c r="L31" i="95"/>
  <c r="M31" i="95" s="1"/>
  <c r="N31" i="95" s="1"/>
  <c r="L10" i="95"/>
  <c r="M10" i="95" s="1"/>
  <c r="N10" i="95" s="1"/>
  <c r="L11" i="95"/>
  <c r="M11" i="95" s="1"/>
  <c r="N11" i="95" s="1"/>
  <c r="L14" i="95"/>
  <c r="M14" i="95" s="1"/>
  <c r="N14" i="95" s="1"/>
  <c r="N37" i="95"/>
  <c r="D7" i="15"/>
  <c r="R7" i="15"/>
  <c r="T7" i="15"/>
  <c r="P7" i="15"/>
  <c r="N7" i="15"/>
  <c r="L7" i="15"/>
  <c r="J7" i="15"/>
  <c r="H7" i="15"/>
  <c r="F7" i="15"/>
  <c r="N33" i="95" l="1"/>
  <c r="N35" i="95" s="1"/>
  <c r="N38" i="95" s="1"/>
  <c r="N40" i="95" s="1"/>
  <c r="L33" i="95"/>
  <c r="L35" i="95" s="1"/>
  <c r="L38" i="95" s="1"/>
  <c r="M33" i="95"/>
  <c r="M35" i="95" s="1"/>
  <c r="M38" i="95" s="1"/>
  <c r="W5" i="95"/>
  <c r="Y37" i="95"/>
  <c r="Z37" i="95" s="1"/>
  <c r="W31" i="95"/>
  <c r="W30" i="95"/>
  <c r="W29" i="95"/>
  <c r="W28" i="95"/>
  <c r="W27" i="95"/>
  <c r="W26" i="95"/>
  <c r="W25" i="95"/>
  <c r="W24" i="95"/>
  <c r="W23" i="95"/>
  <c r="W22" i="95"/>
  <c r="W21" i="95"/>
  <c r="W20" i="95"/>
  <c r="W19" i="95"/>
  <c r="W18" i="95"/>
  <c r="W17" i="95"/>
  <c r="W16" i="95"/>
  <c r="W15" i="95"/>
  <c r="W14" i="95"/>
  <c r="W13" i="95"/>
  <c r="W12" i="95"/>
  <c r="W11" i="95"/>
  <c r="W10" i="95"/>
  <c r="W9" i="95"/>
  <c r="W8" i="95"/>
  <c r="W7" i="95"/>
  <c r="W6" i="95"/>
  <c r="X31" i="95"/>
  <c r="X30" i="95"/>
  <c r="X29" i="95"/>
  <c r="X28" i="95"/>
  <c r="X27" i="95"/>
  <c r="X26" i="95"/>
  <c r="X25" i="95"/>
  <c r="X24" i="95"/>
  <c r="X23" i="95"/>
  <c r="X22" i="95"/>
  <c r="X21" i="95"/>
  <c r="X20" i="95"/>
  <c r="X19" i="95"/>
  <c r="X18" i="95"/>
  <c r="X17" i="95"/>
  <c r="X16" i="95"/>
  <c r="X15" i="95"/>
  <c r="X14" i="95"/>
  <c r="X13" i="95"/>
  <c r="X12" i="95"/>
  <c r="X11" i="95"/>
  <c r="X10" i="95"/>
  <c r="X9" i="95"/>
  <c r="X8" i="95"/>
  <c r="X7" i="95"/>
  <c r="X6" i="95"/>
  <c r="Y20" i="95" l="1"/>
  <c r="Z20" i="95" s="1"/>
  <c r="Y7" i="95"/>
  <c r="Z7" i="95" s="1"/>
  <c r="Y17" i="95"/>
  <c r="Z17" i="95" s="1"/>
  <c r="Y6" i="95"/>
  <c r="Z6" i="95" s="1"/>
  <c r="Y24" i="95"/>
  <c r="Z24" i="95" s="1"/>
  <c r="Y23" i="95"/>
  <c r="Z23" i="95" s="1"/>
  <c r="Y21" i="95"/>
  <c r="Z21" i="95" s="1"/>
  <c r="Y25" i="95"/>
  <c r="Z25" i="95" s="1"/>
  <c r="Y22" i="95"/>
  <c r="Z22" i="95" s="1"/>
  <c r="Y26" i="95"/>
  <c r="Z26" i="95" s="1"/>
  <c r="Y27" i="95"/>
  <c r="Z27" i="95" s="1"/>
  <c r="Y10" i="95"/>
  <c r="Z10" i="95" s="1"/>
  <c r="Y30" i="95"/>
  <c r="Z30" i="95" s="1"/>
  <c r="Y31" i="95"/>
  <c r="Z31" i="95" s="1"/>
  <c r="Y29" i="95"/>
  <c r="Z29" i="95" s="1"/>
  <c r="Y13" i="95"/>
  <c r="Z13" i="95" s="1"/>
  <c r="Y14" i="95"/>
  <c r="Z14" i="95" s="1"/>
  <c r="Y9" i="95"/>
  <c r="Z9" i="95" s="1"/>
  <c r="Y15" i="95"/>
  <c r="Z15" i="95" s="1"/>
  <c r="Y8" i="95"/>
  <c r="Z8" i="95" s="1"/>
  <c r="Y16" i="95"/>
  <c r="Z16" i="95" s="1"/>
  <c r="Y12" i="95"/>
  <c r="Z12" i="95" s="1"/>
  <c r="Y18" i="95"/>
  <c r="Z18" i="95" s="1"/>
  <c r="Y28" i="95"/>
  <c r="Z28" i="95" s="1"/>
  <c r="Y11" i="95"/>
  <c r="Z11" i="95" s="1"/>
  <c r="Y19" i="95"/>
  <c r="Z19" i="95" s="1"/>
  <c r="W33" i="95"/>
  <c r="X33" i="95"/>
  <c r="X34" i="95" s="1"/>
  <c r="X35" i="95" s="1"/>
  <c r="X38" i="95" s="1"/>
  <c r="A21" i="93"/>
  <c r="P115" i="93"/>
  <c r="D21" i="93" s="1"/>
  <c r="O115" i="93"/>
  <c r="D115" i="93"/>
  <c r="Q114" i="93"/>
  <c r="N114" i="93"/>
  <c r="Q113" i="93"/>
  <c r="N113" i="93"/>
  <c r="Q111" i="93"/>
  <c r="N111" i="93"/>
  <c r="Q110" i="93"/>
  <c r="N110" i="93"/>
  <c r="Q109" i="93"/>
  <c r="N109" i="93"/>
  <c r="Q108" i="93"/>
  <c r="N108" i="93"/>
  <c r="Q107" i="93"/>
  <c r="N107" i="93"/>
  <c r="J77" i="17"/>
  <c r="D77" i="17"/>
  <c r="J76" i="17"/>
  <c r="D76" i="17"/>
  <c r="D51" i="17"/>
  <c r="D50" i="17"/>
  <c r="Q41" i="17"/>
  <c r="Q115" i="93" l="1"/>
  <c r="W34" i="95"/>
  <c r="Y33" i="95"/>
  <c r="Z33" i="95" s="1"/>
  <c r="N115" i="93"/>
  <c r="U94" i="17"/>
  <c r="W35" i="95" l="1"/>
  <c r="W38" i="95" s="1"/>
  <c r="Y38" i="95" s="1"/>
  <c r="Z38" i="95" s="1"/>
  <c r="Y34" i="95"/>
  <c r="D89" i="17"/>
  <c r="D88" i="17"/>
  <c r="D87" i="17"/>
  <c r="D86" i="17"/>
  <c r="D85" i="17"/>
  <c r="D84" i="17"/>
  <c r="D83" i="17"/>
  <c r="D82" i="17"/>
  <c r="D79" i="17"/>
  <c r="D78" i="17"/>
  <c r="D75" i="17"/>
  <c r="D74" i="17"/>
  <c r="D73" i="17"/>
  <c r="D72" i="17"/>
  <c r="D71" i="17"/>
  <c r="D70" i="17"/>
  <c r="D69" i="17"/>
  <c r="D68" i="17"/>
  <c r="D67" i="17"/>
  <c r="D66" i="17"/>
  <c r="D65" i="17"/>
  <c r="D64" i="17"/>
  <c r="D63" i="17"/>
  <c r="D62" i="17"/>
  <c r="D61" i="17"/>
  <c r="D60" i="17"/>
  <c r="D59" i="17"/>
  <c r="D58" i="17"/>
  <c r="D57" i="17"/>
  <c r="D56" i="17"/>
  <c r="D55" i="17"/>
  <c r="D54" i="17"/>
  <c r="D53" i="17"/>
  <c r="D52"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9" i="17"/>
  <c r="D8" i="17"/>
  <c r="D7" i="17"/>
  <c r="D6" i="17"/>
  <c r="Z34" i="95" l="1"/>
  <c r="Z35" i="95" s="1"/>
  <c r="Y35" i="95"/>
  <c r="A12" i="96"/>
  <c r="A13" i="96"/>
  <c r="A14" i="96"/>
  <c r="E16" i="96"/>
  <c r="F16" i="96" s="1"/>
  <c r="E17" i="96"/>
  <c r="F17" i="96" s="1"/>
  <c r="E18" i="96"/>
  <c r="F18" i="96" s="1"/>
  <c r="E19" i="96"/>
  <c r="F19" i="96" s="1"/>
  <c r="E20" i="96"/>
  <c r="F20" i="96" s="1"/>
  <c r="E21" i="96"/>
  <c r="F21" i="96" s="1"/>
  <c r="E22" i="96"/>
  <c r="F22" i="96" s="1"/>
  <c r="E23" i="96"/>
  <c r="F23" i="96" s="1"/>
  <c r="E24" i="96"/>
  <c r="F24" i="96" s="1"/>
  <c r="E25" i="96"/>
  <c r="F25" i="96" s="1"/>
  <c r="A12" i="103"/>
  <c r="A14" i="103"/>
  <c r="E15" i="103"/>
  <c r="F15" i="103" s="1"/>
  <c r="E16" i="103"/>
  <c r="F16" i="103" s="1"/>
  <c r="E17" i="103"/>
  <c r="F17" i="103" s="1"/>
  <c r="E18" i="103"/>
  <c r="E19" i="103"/>
  <c r="E20" i="103"/>
  <c r="E21" i="103"/>
  <c r="E22" i="103"/>
  <c r="E23" i="103"/>
  <c r="E24" i="103"/>
  <c r="E25" i="103"/>
  <c r="J8" i="17" l="1"/>
  <c r="J6" i="17"/>
  <c r="P57" i="104" l="1"/>
  <c r="O57" i="104"/>
  <c r="D57" i="104"/>
  <c r="Q56" i="104"/>
  <c r="N56" i="104"/>
  <c r="N57" i="104" s="1"/>
  <c r="P60" i="103"/>
  <c r="D13" i="103" s="1"/>
  <c r="O60" i="103"/>
  <c r="D60" i="103"/>
  <c r="Q59" i="103"/>
  <c r="Q57" i="104" l="1"/>
  <c r="E13" i="103"/>
  <c r="F13" i="103" s="1"/>
  <c r="D14" i="104"/>
  <c r="Q60" i="103"/>
  <c r="Q51" i="103"/>
  <c r="N51" i="103"/>
  <c r="Q57" i="94" l="1"/>
  <c r="N57" i="94"/>
  <c r="Q92" i="92" l="1"/>
  <c r="N92" i="92"/>
  <c r="Q91" i="92"/>
  <c r="N91" i="92"/>
  <c r="Q90" i="92"/>
  <c r="N90" i="92"/>
  <c r="Q89" i="92"/>
  <c r="N89" i="92"/>
  <c r="Q88" i="92"/>
  <c r="N88" i="92"/>
  <c r="Q86" i="92" l="1"/>
  <c r="N86" i="92"/>
  <c r="Q80" i="93" l="1"/>
  <c r="N80" i="93"/>
  <c r="Q72" i="93"/>
  <c r="N72" i="93"/>
  <c r="Q65" i="93"/>
  <c r="N65" i="93"/>
  <c r="Q83" i="91"/>
  <c r="N83" i="91"/>
  <c r="Q71" i="91" l="1"/>
  <c r="N71" i="91"/>
  <c r="Q70" i="91"/>
  <c r="N70" i="91"/>
  <c r="Q69" i="91"/>
  <c r="N69" i="91"/>
  <c r="Q90" i="17" l="1"/>
  <c r="S30" i="95"/>
  <c r="T30" i="95" s="1"/>
  <c r="U30" i="95" s="1"/>
  <c r="S28" i="95"/>
  <c r="T28" i="95" s="1"/>
  <c r="U28" i="95" s="1"/>
  <c r="S26" i="95"/>
  <c r="T26" i="95" s="1"/>
  <c r="U26" i="95" s="1"/>
  <c r="S24" i="95"/>
  <c r="T24" i="95" s="1"/>
  <c r="U24" i="95" s="1"/>
  <c r="S22" i="95"/>
  <c r="T22" i="95" s="1"/>
  <c r="U22" i="95" s="1"/>
  <c r="S20" i="95"/>
  <c r="T20" i="95" s="1"/>
  <c r="U20" i="95" s="1"/>
  <c r="S18" i="95"/>
  <c r="T18" i="95" s="1"/>
  <c r="U18" i="95" s="1"/>
  <c r="S16" i="95"/>
  <c r="T16" i="95" s="1"/>
  <c r="U16" i="95" s="1"/>
  <c r="S14" i="95"/>
  <c r="T14" i="95" s="1"/>
  <c r="U14" i="95" s="1"/>
  <c r="S12" i="95"/>
  <c r="T12" i="95" s="1"/>
  <c r="U12" i="95" s="1"/>
  <c r="S10" i="95"/>
  <c r="T10" i="95" s="1"/>
  <c r="U10" i="95" s="1"/>
  <c r="S8" i="95"/>
  <c r="T8" i="95" s="1"/>
  <c r="U8" i="95" s="1"/>
  <c r="S6" i="95"/>
  <c r="T6" i="95" s="1"/>
  <c r="U6" i="95" l="1"/>
  <c r="U32" i="95" s="1"/>
  <c r="U34" i="95" s="1"/>
  <c r="T32" i="95"/>
  <c r="T34" i="95" s="1"/>
  <c r="S32" i="95"/>
  <c r="S34" i="95" s="1"/>
  <c r="E25" i="99"/>
  <c r="E24" i="99"/>
  <c r="E23" i="99"/>
  <c r="E22" i="99"/>
  <c r="E21" i="99"/>
  <c r="E20" i="99"/>
  <c r="E19" i="99"/>
  <c r="E18" i="99"/>
  <c r="E17" i="99"/>
  <c r="E16" i="99"/>
  <c r="E25" i="97"/>
  <c r="E24" i="97"/>
  <c r="E23" i="97"/>
  <c r="E22" i="97"/>
  <c r="E21" i="97"/>
  <c r="E20" i="97"/>
  <c r="E19" i="97"/>
  <c r="E18" i="97"/>
  <c r="E17" i="97"/>
  <c r="E16" i="97"/>
  <c r="E15" i="97"/>
  <c r="E25" i="102"/>
  <c r="E24" i="102"/>
  <c r="E23" i="102"/>
  <c r="E22" i="102"/>
  <c r="E21" i="102"/>
  <c r="E20" i="102"/>
  <c r="E19" i="102"/>
  <c r="E18" i="102"/>
  <c r="E17" i="102"/>
  <c r="E16" i="102"/>
  <c r="E15" i="102"/>
  <c r="E14" i="102"/>
  <c r="E13" i="102"/>
  <c r="E25" i="100"/>
  <c r="E24" i="100"/>
  <c r="E23" i="100"/>
  <c r="E22" i="100"/>
  <c r="E21" i="100"/>
  <c r="E20" i="100"/>
  <c r="E19" i="100"/>
  <c r="E18" i="100"/>
  <c r="E17" i="100"/>
  <c r="E16" i="100"/>
  <c r="E15" i="100"/>
  <c r="E14" i="100"/>
  <c r="E13" i="100"/>
  <c r="E25" i="91"/>
  <c r="E24" i="91"/>
  <c r="E23" i="91"/>
  <c r="E22" i="91"/>
  <c r="E21" i="91"/>
  <c r="E20" i="91"/>
  <c r="E19" i="91"/>
  <c r="E25" i="94"/>
  <c r="E24" i="94"/>
  <c r="E23" i="94"/>
  <c r="E22" i="94"/>
  <c r="E21" i="94"/>
  <c r="E20" i="94"/>
  <c r="E19" i="94"/>
  <c r="E18" i="94"/>
  <c r="E17" i="94"/>
  <c r="E16" i="94"/>
  <c r="E15" i="94"/>
  <c r="E14" i="94"/>
  <c r="E25" i="105"/>
  <c r="E24" i="105"/>
  <c r="E23" i="105"/>
  <c r="E22" i="105"/>
  <c r="E21" i="105"/>
  <c r="E25" i="101"/>
  <c r="E24" i="101"/>
  <c r="E23" i="101"/>
  <c r="E22" i="101"/>
  <c r="E21" i="101"/>
  <c r="E20" i="101"/>
  <c r="E19" i="101"/>
  <c r="E18" i="101"/>
  <c r="E17" i="101"/>
  <c r="E16" i="101"/>
  <c r="E15" i="101"/>
  <c r="E14" i="101"/>
  <c r="E25" i="92"/>
  <c r="E24" i="92"/>
  <c r="E23" i="92"/>
  <c r="E22" i="92"/>
  <c r="E21" i="92"/>
  <c r="E20" i="92"/>
  <c r="E19" i="92"/>
  <c r="E18" i="92"/>
  <c r="E25" i="104"/>
  <c r="E24" i="104"/>
  <c r="E23" i="104"/>
  <c r="E22" i="104"/>
  <c r="E21" i="104"/>
  <c r="E20" i="104"/>
  <c r="E19" i="104"/>
  <c r="E18" i="104"/>
  <c r="E17" i="104"/>
  <c r="E16" i="104"/>
  <c r="E15" i="104"/>
  <c r="E14" i="104"/>
  <c r="E25" i="93"/>
  <c r="E24" i="93"/>
  <c r="F24" i="93" s="1"/>
  <c r="E23" i="93"/>
  <c r="F23" i="93" s="1"/>
  <c r="E22" i="93"/>
  <c r="F22" i="93" s="1"/>
  <c r="E21" i="93"/>
  <c r="F21" i="93" s="1"/>
  <c r="A20" i="93"/>
  <c r="A19" i="93"/>
  <c r="A18" i="93"/>
  <c r="A17" i="93"/>
  <c r="A16" i="93"/>
  <c r="A15" i="93"/>
  <c r="A14" i="93"/>
  <c r="P74" i="93"/>
  <c r="D15" i="93" s="1"/>
  <c r="E15" i="93" s="1"/>
  <c r="O74" i="93"/>
  <c r="D74" i="93"/>
  <c r="Q73" i="93"/>
  <c r="N73" i="93"/>
  <c r="Q69" i="93"/>
  <c r="N69" i="93"/>
  <c r="Q68" i="93"/>
  <c r="N68" i="93"/>
  <c r="P67" i="93"/>
  <c r="D14" i="93" s="1"/>
  <c r="E14" i="93" s="1"/>
  <c r="O67" i="93"/>
  <c r="D67" i="93"/>
  <c r="Q66" i="93"/>
  <c r="N66" i="93"/>
  <c r="Q62" i="93"/>
  <c r="N62" i="93"/>
  <c r="Q61" i="93"/>
  <c r="N61" i="93"/>
  <c r="A17" i="92"/>
  <c r="A16" i="92"/>
  <c r="Q74" i="93" l="1"/>
  <c r="N74" i="93"/>
  <c r="N67" i="93"/>
  <c r="Q67" i="93"/>
  <c r="Q93" i="92"/>
  <c r="N93" i="92"/>
  <c r="Q87" i="92"/>
  <c r="N87" i="92"/>
  <c r="P85" i="92"/>
  <c r="D16" i="92" s="1"/>
  <c r="E16" i="92" s="1"/>
  <c r="O85" i="92"/>
  <c r="D85" i="92"/>
  <c r="Q84" i="92"/>
  <c r="N84" i="92"/>
  <c r="Q83" i="92"/>
  <c r="N83" i="92"/>
  <c r="Q82" i="92"/>
  <c r="N82" i="92"/>
  <c r="Q81" i="92"/>
  <c r="N81" i="92"/>
  <c r="Q80" i="92"/>
  <c r="N80" i="92"/>
  <c r="Q79" i="92"/>
  <c r="N79" i="92"/>
  <c r="Q78" i="92"/>
  <c r="N78" i="92"/>
  <c r="Q77" i="92"/>
  <c r="N77" i="92"/>
  <c r="Q85" i="92" l="1"/>
  <c r="N85" i="92"/>
  <c r="A3" i="102" l="1"/>
  <c r="A3" i="100"/>
  <c r="A3" i="99"/>
  <c r="A3" i="97"/>
  <c r="A3" i="96"/>
  <c r="A3" i="101"/>
  <c r="A3" i="105"/>
  <c r="A3" i="94"/>
  <c r="A3" i="93"/>
  <c r="A3" i="104"/>
  <c r="A3" i="92"/>
  <c r="A3" i="103"/>
  <c r="A3" i="91"/>
  <c r="A15" i="92" l="1"/>
  <c r="A14" i="92"/>
  <c r="P51" i="100"/>
  <c r="O51" i="100"/>
  <c r="O52" i="100" s="1"/>
  <c r="P52" i="100"/>
  <c r="D12" i="100"/>
  <c r="E12" i="100" s="1"/>
  <c r="A12" i="100"/>
  <c r="P64" i="103"/>
  <c r="D14" i="103" s="1"/>
  <c r="E14" i="103" s="1"/>
  <c r="F14" i="103" s="1"/>
  <c r="O64" i="103"/>
  <c r="Q64" i="103" s="1"/>
  <c r="D64" i="103"/>
  <c r="Q63" i="103"/>
  <c r="N63" i="103"/>
  <c r="N64" i="103" s="1"/>
  <c r="Q50" i="103"/>
  <c r="N50" i="103"/>
  <c r="A20" i="105"/>
  <c r="A19" i="105"/>
  <c r="A18" i="105"/>
  <c r="A17" i="105"/>
  <c r="A16" i="105"/>
  <c r="A15" i="105"/>
  <c r="A14" i="105"/>
  <c r="A12" i="105"/>
  <c r="A13" i="94"/>
  <c r="A12" i="94"/>
  <c r="P81" i="105"/>
  <c r="F23" i="105" s="1"/>
  <c r="O81" i="105"/>
  <c r="D81" i="105"/>
  <c r="Q80" i="105"/>
  <c r="N80" i="105"/>
  <c r="Q79" i="105"/>
  <c r="N79" i="105"/>
  <c r="P78" i="105"/>
  <c r="O78" i="105"/>
  <c r="D78" i="105"/>
  <c r="Q77" i="105"/>
  <c r="N77" i="105"/>
  <c r="Q76" i="105"/>
  <c r="N76" i="105"/>
  <c r="P75" i="105"/>
  <c r="F21" i="105" s="1"/>
  <c r="O75" i="105"/>
  <c r="D75" i="105"/>
  <c r="Q74" i="105"/>
  <c r="N74" i="105"/>
  <c r="Q73" i="105"/>
  <c r="N73" i="105"/>
  <c r="Q72" i="105"/>
  <c r="N72" i="105"/>
  <c r="P71" i="105"/>
  <c r="D17" i="105" s="1"/>
  <c r="E17" i="105" s="1"/>
  <c r="O71" i="105"/>
  <c r="D71" i="105"/>
  <c r="Q70" i="105"/>
  <c r="N70" i="105"/>
  <c r="Q69" i="105"/>
  <c r="N69" i="105"/>
  <c r="Q68" i="105"/>
  <c r="N68" i="105"/>
  <c r="P67" i="105"/>
  <c r="D16" i="105" s="1"/>
  <c r="O67" i="105"/>
  <c r="D67" i="105"/>
  <c r="Q66" i="105"/>
  <c r="N66" i="105"/>
  <c r="Q65" i="105"/>
  <c r="N65" i="105"/>
  <c r="P64" i="105"/>
  <c r="D15" i="105" s="1"/>
  <c r="E15" i="105" s="1"/>
  <c r="O64" i="105"/>
  <c r="D64" i="105"/>
  <c r="Q63" i="105"/>
  <c r="N63" i="105"/>
  <c r="Q62" i="105"/>
  <c r="N62" i="105"/>
  <c r="Q61" i="105"/>
  <c r="N61" i="105"/>
  <c r="P60" i="105"/>
  <c r="D14" i="105" s="1"/>
  <c r="E14" i="105" s="1"/>
  <c r="O60" i="105"/>
  <c r="D60" i="105"/>
  <c r="Q59" i="105"/>
  <c r="N59" i="105"/>
  <c r="Q58" i="105"/>
  <c r="N58" i="105"/>
  <c r="Q57" i="105"/>
  <c r="N57" i="105"/>
  <c r="P52" i="105"/>
  <c r="D12" i="105" s="1"/>
  <c r="E12" i="105" s="1"/>
  <c r="O52" i="105"/>
  <c r="D52" i="105"/>
  <c r="Q51" i="105"/>
  <c r="N51" i="105"/>
  <c r="Q50" i="105"/>
  <c r="N50" i="105"/>
  <c r="Q49" i="105"/>
  <c r="N49" i="105"/>
  <c r="A12" i="104"/>
  <c r="P51" i="104"/>
  <c r="P58" i="104" s="1"/>
  <c r="O51" i="104"/>
  <c r="O58" i="104" s="1"/>
  <c r="D51" i="104"/>
  <c r="Q50" i="104"/>
  <c r="N50" i="104"/>
  <c r="Q49" i="104"/>
  <c r="N49" i="104"/>
  <c r="Q60" i="105" l="1"/>
  <c r="Q51" i="100"/>
  <c r="Q64" i="105"/>
  <c r="E16" i="105"/>
  <c r="F16" i="105" s="1"/>
  <c r="Q71" i="105"/>
  <c r="Q52" i="105"/>
  <c r="D18" i="105"/>
  <c r="D19" i="105"/>
  <c r="D20" i="105"/>
  <c r="E20" i="105" s="1"/>
  <c r="F20" i="105" s="1"/>
  <c r="D12" i="104"/>
  <c r="N67" i="105"/>
  <c r="N51" i="104"/>
  <c r="N58" i="104" s="1"/>
  <c r="F17" i="105"/>
  <c r="N64" i="105"/>
  <c r="N71" i="105"/>
  <c r="Q75" i="105"/>
  <c r="Q78" i="105"/>
  <c r="Q81" i="105"/>
  <c r="N75" i="105"/>
  <c r="N52" i="105"/>
  <c r="N78" i="105"/>
  <c r="N81" i="105"/>
  <c r="N60" i="105"/>
  <c r="F12" i="105"/>
  <c r="Q67" i="105"/>
  <c r="F14" i="105"/>
  <c r="F24" i="105"/>
  <c r="F15" i="105"/>
  <c r="F22" i="105"/>
  <c r="F16" i="104"/>
  <c r="F15" i="104"/>
  <c r="F14" i="104"/>
  <c r="Q51" i="104"/>
  <c r="Q58" i="104" s="1"/>
  <c r="F17" i="104"/>
  <c r="E19" i="105" l="1"/>
  <c r="F19" i="105" s="1"/>
  <c r="E18" i="105"/>
  <c r="F18" i="105" s="1"/>
  <c r="D26" i="104"/>
  <c r="E26" i="104" s="1"/>
  <c r="F26" i="104" s="1"/>
  <c r="E12" i="104"/>
  <c r="F12" i="104" s="1"/>
  <c r="D26" i="105"/>
  <c r="E26" i="105" s="1"/>
  <c r="F26" i="105" s="1"/>
  <c r="P56" i="103" l="1"/>
  <c r="O56" i="103"/>
  <c r="O65" i="103" s="1"/>
  <c r="D56" i="103"/>
  <c r="P51" i="102"/>
  <c r="P52" i="102" s="1"/>
  <c r="O51" i="102"/>
  <c r="O52" i="102" s="1"/>
  <c r="F25" i="102"/>
  <c r="F24" i="102"/>
  <c r="F23" i="102"/>
  <c r="F22" i="102"/>
  <c r="F21" i="102"/>
  <c r="F20" i="102"/>
  <c r="F19" i="102"/>
  <c r="F18" i="102"/>
  <c r="F17" i="102"/>
  <c r="F16" i="102"/>
  <c r="F15" i="102"/>
  <c r="F14" i="102"/>
  <c r="A12" i="102"/>
  <c r="D51" i="102"/>
  <c r="Q49" i="102"/>
  <c r="C49" i="102"/>
  <c r="N49" i="102" s="1"/>
  <c r="N51" i="102" s="1"/>
  <c r="A13" i="101"/>
  <c r="A12" i="101"/>
  <c r="P53" i="101"/>
  <c r="D13" i="101" s="1"/>
  <c r="E13" i="101" s="1"/>
  <c r="O53" i="101"/>
  <c r="D53" i="101"/>
  <c r="Q51" i="101"/>
  <c r="N51" i="101"/>
  <c r="P50" i="101"/>
  <c r="D12" i="101" s="1"/>
  <c r="E12" i="101" s="1"/>
  <c r="O50" i="101"/>
  <c r="O54" i="101" s="1"/>
  <c r="D50" i="101"/>
  <c r="Q49" i="101"/>
  <c r="N49" i="101"/>
  <c r="U4" i="17"/>
  <c r="O81" i="17" l="1"/>
  <c r="AA81" i="17" s="1"/>
  <c r="R80" i="17"/>
  <c r="O80" i="17"/>
  <c r="AA80" i="17" s="1"/>
  <c r="M81" i="17"/>
  <c r="K80" i="17"/>
  <c r="Z80" i="17" s="1"/>
  <c r="K81" i="17"/>
  <c r="Z81" i="17" s="1"/>
  <c r="R81" i="17"/>
  <c r="M80" i="17"/>
  <c r="R10" i="17"/>
  <c r="O10" i="17"/>
  <c r="AA10" i="17" s="1"/>
  <c r="M10" i="17"/>
  <c r="K10" i="17"/>
  <c r="Z10" i="17" s="1"/>
  <c r="K11" i="17"/>
  <c r="Z11" i="17" s="1"/>
  <c r="M11" i="17"/>
  <c r="O11" i="17"/>
  <c r="AA11" i="17" s="1"/>
  <c r="R11" i="17"/>
  <c r="K77" i="17"/>
  <c r="Z77" i="17" s="1"/>
  <c r="K76" i="17"/>
  <c r="Z76" i="17" s="1"/>
  <c r="K8" i="17"/>
  <c r="Z8" i="17" s="1"/>
  <c r="K6" i="17"/>
  <c r="Z6" i="17" s="1"/>
  <c r="E12" i="99"/>
  <c r="Q51" i="102"/>
  <c r="Q52" i="102" s="1"/>
  <c r="Q50" i="101"/>
  <c r="P65" i="103"/>
  <c r="D12" i="103"/>
  <c r="P54" i="101"/>
  <c r="Q56" i="103"/>
  <c r="Q65" i="103" s="1"/>
  <c r="N56" i="103"/>
  <c r="D12" i="102"/>
  <c r="N52" i="102"/>
  <c r="F13" i="102"/>
  <c r="N50" i="101"/>
  <c r="Q53" i="101"/>
  <c r="N53" i="101"/>
  <c r="F24" i="101"/>
  <c r="F23" i="101"/>
  <c r="F13" i="101"/>
  <c r="F15" i="101"/>
  <c r="F17" i="101"/>
  <c r="F19" i="101"/>
  <c r="F21" i="101"/>
  <c r="F22" i="101"/>
  <c r="F12" i="101"/>
  <c r="F14" i="101"/>
  <c r="F16" i="101"/>
  <c r="F18" i="101"/>
  <c r="F20" i="101"/>
  <c r="D26" i="101"/>
  <c r="S80" i="17" l="1"/>
  <c r="S10" i="17"/>
  <c r="E12" i="102"/>
  <c r="F12" i="102" s="1"/>
  <c r="Q54" i="101"/>
  <c r="E12" i="103"/>
  <c r="F12" i="103" s="1"/>
  <c r="D26" i="103"/>
  <c r="E26" i="103" s="1"/>
  <c r="F26" i="103" s="1"/>
  <c r="N54" i="101"/>
  <c r="D26" i="102"/>
  <c r="E26" i="102" s="1"/>
  <c r="F26" i="102" s="1"/>
  <c r="E26" i="101"/>
  <c r="F26" i="101" s="1"/>
  <c r="T80" i="17" l="1"/>
  <c r="U80" i="17" s="1"/>
  <c r="B80" i="17"/>
  <c r="C52" i="104" s="1"/>
  <c r="T10" i="17"/>
  <c r="U10" i="17" s="1"/>
  <c r="B10" i="17"/>
  <c r="C53" i="105" s="1"/>
  <c r="Q78" i="93"/>
  <c r="N78" i="93"/>
  <c r="Q82" i="91"/>
  <c r="N82" i="91"/>
  <c r="J16" i="17" l="1"/>
  <c r="K16" i="17" s="1"/>
  <c r="Z16" i="17" s="1"/>
  <c r="J12" i="17"/>
  <c r="K12" i="17" s="1"/>
  <c r="Z12" i="17" s="1"/>
  <c r="J24" i="17"/>
  <c r="K24" i="17" s="1"/>
  <c r="Z24" i="17" s="1"/>
  <c r="J22" i="17"/>
  <c r="K22" i="17" s="1"/>
  <c r="Z22" i="17" s="1"/>
  <c r="J40" i="17"/>
  <c r="K40" i="17" s="1"/>
  <c r="Z40" i="17" s="1"/>
  <c r="J52" i="17"/>
  <c r="K52" i="17" s="1"/>
  <c r="Z52" i="17" s="1"/>
  <c r="J82" i="17"/>
  <c r="K82" i="17" s="1"/>
  <c r="Z82" i="17" s="1"/>
  <c r="J38" i="17"/>
  <c r="K38" i="17" s="1"/>
  <c r="Z38" i="17" s="1"/>
  <c r="J18" i="17"/>
  <c r="K18" i="17" s="1"/>
  <c r="Z18" i="17" s="1"/>
  <c r="J34" i="17"/>
  <c r="K34" i="17" s="1"/>
  <c r="Z34" i="17" s="1"/>
  <c r="J32" i="17"/>
  <c r="K32" i="17" s="1"/>
  <c r="Z32" i="17" s="1"/>
  <c r="T3" i="15"/>
  <c r="J50" i="17" l="1"/>
  <c r="K50" i="17" s="1"/>
  <c r="Z50" i="17" s="1"/>
  <c r="J62" i="17"/>
  <c r="K62" i="17" s="1"/>
  <c r="Z62" i="17" s="1"/>
  <c r="J20" i="17"/>
  <c r="K20" i="17" s="1"/>
  <c r="Z20" i="17" s="1"/>
  <c r="J36" i="17"/>
  <c r="K36" i="17" s="1"/>
  <c r="Z36" i="17" s="1"/>
  <c r="Q49" i="100"/>
  <c r="Q71" i="99"/>
  <c r="Q70" i="99"/>
  <c r="Q69" i="99"/>
  <c r="Q68" i="99"/>
  <c r="Q67" i="99"/>
  <c r="Q66" i="99"/>
  <c r="Q65" i="99"/>
  <c r="Q63" i="99"/>
  <c r="Q62" i="99"/>
  <c r="Q61" i="99"/>
  <c r="Q60" i="99"/>
  <c r="Q59" i="99"/>
  <c r="Q58" i="99"/>
  <c r="Q57" i="99"/>
  <c r="Q55" i="99"/>
  <c r="Q54" i="99"/>
  <c r="Q53" i="99"/>
  <c r="Q52" i="99"/>
  <c r="Q51" i="99"/>
  <c r="Q50" i="99"/>
  <c r="Q49" i="99"/>
  <c r="E13" i="97"/>
  <c r="C49" i="100"/>
  <c r="N49" i="100" s="1"/>
  <c r="F25" i="100"/>
  <c r="F24" i="100"/>
  <c r="F23" i="100"/>
  <c r="F22" i="100"/>
  <c r="F21" i="100"/>
  <c r="F20" i="100"/>
  <c r="F19" i="100"/>
  <c r="F18" i="100"/>
  <c r="F17" i="100"/>
  <c r="F16" i="100"/>
  <c r="F15" i="100"/>
  <c r="F14" i="100"/>
  <c r="D51" i="100"/>
  <c r="C66" i="99"/>
  <c r="N69" i="99" s="1"/>
  <c r="C65" i="99"/>
  <c r="N65" i="99" s="1"/>
  <c r="C58" i="99"/>
  <c r="N61" i="99" s="1"/>
  <c r="C57" i="99"/>
  <c r="N57" i="99" s="1"/>
  <c r="C50" i="99"/>
  <c r="N53" i="99" s="1"/>
  <c r="C49" i="99"/>
  <c r="N49" i="99" s="1"/>
  <c r="F25" i="99"/>
  <c r="F24" i="99"/>
  <c r="F23" i="99"/>
  <c r="F22" i="99"/>
  <c r="F21" i="99"/>
  <c r="F20" i="99"/>
  <c r="F19" i="99"/>
  <c r="F18" i="99"/>
  <c r="F17" i="99"/>
  <c r="F16" i="99"/>
  <c r="A14" i="99"/>
  <c r="A13" i="99"/>
  <c r="A12" i="99"/>
  <c r="P72" i="99"/>
  <c r="E15" i="99" s="1"/>
  <c r="O72" i="99"/>
  <c r="D72" i="99"/>
  <c r="P64" i="99"/>
  <c r="E14" i="99" s="1"/>
  <c r="O64" i="99"/>
  <c r="D64" i="99"/>
  <c r="P56" i="99"/>
  <c r="O56" i="99"/>
  <c r="D56" i="99"/>
  <c r="C50" i="97"/>
  <c r="N52" i="97" s="1"/>
  <c r="C49" i="97"/>
  <c r="N49" i="97" s="1"/>
  <c r="F25" i="97"/>
  <c r="F24" i="97"/>
  <c r="F23" i="97"/>
  <c r="F22" i="97"/>
  <c r="F21" i="97"/>
  <c r="F20" i="97"/>
  <c r="F19" i="97"/>
  <c r="F18" i="97"/>
  <c r="F17" i="97"/>
  <c r="F16" i="97"/>
  <c r="A12" i="97"/>
  <c r="P57" i="97"/>
  <c r="E14" i="97" s="1"/>
  <c r="O57" i="97"/>
  <c r="D57" i="97"/>
  <c r="Q56" i="97"/>
  <c r="Q55" i="97"/>
  <c r="Q54" i="97"/>
  <c r="Q53" i="97"/>
  <c r="Q52" i="97"/>
  <c r="Q51" i="97"/>
  <c r="Q50" i="97"/>
  <c r="Q49" i="97"/>
  <c r="Q71" i="96"/>
  <c r="Q70" i="96"/>
  <c r="Q69" i="96"/>
  <c r="Q68" i="96"/>
  <c r="Q67" i="96"/>
  <c r="Q66" i="96"/>
  <c r="Q65" i="96"/>
  <c r="Q63" i="96"/>
  <c r="Q62" i="96"/>
  <c r="Q61" i="96"/>
  <c r="Q60" i="96"/>
  <c r="Q59" i="96"/>
  <c r="Q58" i="96"/>
  <c r="Q57" i="96"/>
  <c r="Q55" i="96"/>
  <c r="Q54" i="96"/>
  <c r="Q53" i="96"/>
  <c r="Q52" i="96"/>
  <c r="Q51" i="96"/>
  <c r="C66" i="96"/>
  <c r="C65" i="96"/>
  <c r="N65" i="96" s="1"/>
  <c r="C58" i="96"/>
  <c r="N63" i="96" s="1"/>
  <c r="C57" i="96"/>
  <c r="N57" i="96" s="1"/>
  <c r="C50" i="96"/>
  <c r="N55" i="96" s="1"/>
  <c r="C49" i="96"/>
  <c r="N49" i="96" s="1"/>
  <c r="P72" i="96"/>
  <c r="D15" i="96" s="1"/>
  <c r="O72" i="96"/>
  <c r="D72" i="96"/>
  <c r="P64" i="96"/>
  <c r="D13" i="96" s="1"/>
  <c r="O64" i="96"/>
  <c r="D64" i="96"/>
  <c r="P56" i="96"/>
  <c r="D12" i="96" s="1"/>
  <c r="O56" i="96"/>
  <c r="D56" i="96"/>
  <c r="Q50" i="96"/>
  <c r="Q49" i="96"/>
  <c r="J86" i="17" l="1"/>
  <c r="K86" i="17" s="1"/>
  <c r="Z86" i="17" s="1"/>
  <c r="J78" i="17"/>
  <c r="K78" i="17" s="1"/>
  <c r="Z78" i="17" s="1"/>
  <c r="J14" i="17"/>
  <c r="K14" i="17" s="1"/>
  <c r="Z14" i="17" s="1"/>
  <c r="J72" i="17"/>
  <c r="K72" i="17" s="1"/>
  <c r="Z72" i="17" s="1"/>
  <c r="J66" i="17"/>
  <c r="K66" i="17" s="1"/>
  <c r="Z66" i="17" s="1"/>
  <c r="J84" i="17"/>
  <c r="K84" i="17" s="1"/>
  <c r="Z84" i="17" s="1"/>
  <c r="J60" i="17"/>
  <c r="K60" i="17" s="1"/>
  <c r="Z60" i="17" s="1"/>
  <c r="J74" i="17"/>
  <c r="K74" i="17" s="1"/>
  <c r="Z74" i="17" s="1"/>
  <c r="J64" i="17"/>
  <c r="K64" i="17" s="1"/>
  <c r="Z64" i="17" s="1"/>
  <c r="J56" i="17"/>
  <c r="K56" i="17" s="1"/>
  <c r="Z56" i="17" s="1"/>
  <c r="J46" i="17"/>
  <c r="K46" i="17" s="1"/>
  <c r="Z46" i="17" s="1"/>
  <c r="J58" i="17"/>
  <c r="K58" i="17" s="1"/>
  <c r="Z58" i="17" s="1"/>
  <c r="J48" i="17"/>
  <c r="K48" i="17" s="1"/>
  <c r="Z48" i="17" s="1"/>
  <c r="E13" i="99"/>
  <c r="F13" i="99" s="1"/>
  <c r="E14" i="96"/>
  <c r="F14" i="96" s="1"/>
  <c r="D26" i="96"/>
  <c r="E12" i="96"/>
  <c r="F12" i="96" s="1"/>
  <c r="E15" i="96"/>
  <c r="F15" i="96" s="1"/>
  <c r="E13" i="96"/>
  <c r="F13" i="96" s="1"/>
  <c r="N51" i="100"/>
  <c r="N52" i="100" s="1"/>
  <c r="N53" i="97"/>
  <c r="N62" i="99"/>
  <c r="N54" i="97"/>
  <c r="N51" i="99"/>
  <c r="N70" i="99"/>
  <c r="N59" i="99"/>
  <c r="N70" i="96"/>
  <c r="N67" i="99"/>
  <c r="N54" i="99"/>
  <c r="N58" i="96"/>
  <c r="N50" i="96"/>
  <c r="N71" i="96"/>
  <c r="N51" i="96"/>
  <c r="N59" i="96"/>
  <c r="N55" i="97"/>
  <c r="N52" i="99"/>
  <c r="N55" i="99"/>
  <c r="N63" i="99"/>
  <c r="N68" i="99"/>
  <c r="N71" i="99"/>
  <c r="N52" i="96"/>
  <c r="N60" i="96"/>
  <c r="N66" i="96"/>
  <c r="N56" i="97"/>
  <c r="N53" i="96"/>
  <c r="N61" i="96"/>
  <c r="N67" i="96"/>
  <c r="N60" i="99"/>
  <c r="N54" i="96"/>
  <c r="N62" i="96"/>
  <c r="N68" i="96"/>
  <c r="N50" i="97"/>
  <c r="N69" i="96"/>
  <c r="N51" i="97"/>
  <c r="N50" i="99"/>
  <c r="N58" i="99"/>
  <c r="N66" i="99"/>
  <c r="Q72" i="99"/>
  <c r="Q64" i="99"/>
  <c r="F13" i="100"/>
  <c r="D26" i="100"/>
  <c r="F12" i="100"/>
  <c r="Q52" i="100"/>
  <c r="F15" i="99"/>
  <c r="F14" i="99"/>
  <c r="Q56" i="99"/>
  <c r="Q57" i="97"/>
  <c r="F15" i="97"/>
  <c r="F13" i="97"/>
  <c r="E12" i="97"/>
  <c r="Q64" i="96"/>
  <c r="Q72" i="96"/>
  <c r="Q56" i="96"/>
  <c r="J9" i="17" l="1"/>
  <c r="K9" i="17" s="1"/>
  <c r="Z9" i="17" s="1"/>
  <c r="J7" i="17"/>
  <c r="K7" i="17" s="1"/>
  <c r="Z7" i="17" s="1"/>
  <c r="N72" i="99"/>
  <c r="E26" i="96"/>
  <c r="F26" i="96" s="1"/>
  <c r="N72" i="96"/>
  <c r="N56" i="96"/>
  <c r="N64" i="99"/>
  <c r="N64" i="96"/>
  <c r="N56" i="99"/>
  <c r="N73" i="99" s="1"/>
  <c r="N57" i="97"/>
  <c r="N58" i="97" s="1"/>
  <c r="E26" i="100"/>
  <c r="F26" i="100" s="1"/>
  <c r="D26" i="99"/>
  <c r="F12" i="99"/>
  <c r="F14" i="97"/>
  <c r="D26" i="97"/>
  <c r="F12" i="97"/>
  <c r="N73" i="96" l="1"/>
  <c r="J23" i="17"/>
  <c r="K23" i="17" s="1"/>
  <c r="Z23" i="17" s="1"/>
  <c r="J13" i="17"/>
  <c r="K13" i="17" s="1"/>
  <c r="Z13" i="17" s="1"/>
  <c r="J41" i="17"/>
  <c r="K41" i="17" s="1"/>
  <c r="Z41" i="17" s="1"/>
  <c r="J19" i="17"/>
  <c r="K19" i="17" s="1"/>
  <c r="Z19" i="17" s="1"/>
  <c r="J83" i="17"/>
  <c r="K83" i="17" s="1"/>
  <c r="Z83" i="17" s="1"/>
  <c r="J39" i="17"/>
  <c r="K39" i="17" s="1"/>
  <c r="Z39" i="17" s="1"/>
  <c r="J33" i="17"/>
  <c r="K33" i="17" s="1"/>
  <c r="Z33" i="17" s="1"/>
  <c r="J25" i="17"/>
  <c r="K25" i="17" s="1"/>
  <c r="Z25" i="17" s="1"/>
  <c r="J35" i="17"/>
  <c r="K35" i="17" s="1"/>
  <c r="Z35" i="17" s="1"/>
  <c r="J53" i="17"/>
  <c r="K53" i="17" s="1"/>
  <c r="Z53" i="17" s="1"/>
  <c r="J17" i="17"/>
  <c r="K17" i="17" s="1"/>
  <c r="Z17" i="17" s="1"/>
  <c r="E26" i="99"/>
  <c r="F26" i="99" s="1"/>
  <c r="E26" i="97"/>
  <c r="F26" i="97" s="1"/>
  <c r="J51" i="17" l="1"/>
  <c r="K51" i="17" s="1"/>
  <c r="Z51" i="17" s="1"/>
  <c r="J63" i="17"/>
  <c r="K63" i="17" s="1"/>
  <c r="Z63" i="17" s="1"/>
  <c r="J21" i="17"/>
  <c r="K21" i="17" s="1"/>
  <c r="Z21" i="17" s="1"/>
  <c r="J37" i="17"/>
  <c r="K37" i="17" s="1"/>
  <c r="Z37" i="17" s="1"/>
  <c r="N105" i="93"/>
  <c r="N104" i="93"/>
  <c r="N103" i="93"/>
  <c r="N102" i="93"/>
  <c r="N101" i="93"/>
  <c r="N99" i="93"/>
  <c r="N98" i="93"/>
  <c r="N97" i="93"/>
  <c r="N96" i="93"/>
  <c r="N95" i="93"/>
  <c r="N93" i="93"/>
  <c r="N92" i="93"/>
  <c r="N91" i="93"/>
  <c r="N89" i="93"/>
  <c r="N88" i="93"/>
  <c r="N87" i="93"/>
  <c r="N86" i="93"/>
  <c r="N85" i="93"/>
  <c r="N84" i="93"/>
  <c r="N83" i="93"/>
  <c r="N81" i="93"/>
  <c r="N79" i="93"/>
  <c r="N77" i="93"/>
  <c r="N76" i="93"/>
  <c r="N75" i="93"/>
  <c r="N59" i="93"/>
  <c r="N58" i="93"/>
  <c r="N57" i="93"/>
  <c r="N55" i="93"/>
  <c r="N54" i="93"/>
  <c r="N53" i="93"/>
  <c r="N75" i="92"/>
  <c r="N74" i="92"/>
  <c r="N73" i="92"/>
  <c r="N71" i="92"/>
  <c r="N70" i="92"/>
  <c r="N69" i="92"/>
  <c r="N67" i="92"/>
  <c r="N66" i="92"/>
  <c r="N63" i="92"/>
  <c r="N62" i="92"/>
  <c r="N61" i="92"/>
  <c r="N60" i="92"/>
  <c r="N59" i="92"/>
  <c r="N57" i="92"/>
  <c r="N54" i="92"/>
  <c r="N53" i="92"/>
  <c r="N52" i="92"/>
  <c r="N51" i="92"/>
  <c r="N50" i="92"/>
  <c r="N49" i="92"/>
  <c r="F25" i="91"/>
  <c r="F24" i="91"/>
  <c r="F23" i="91"/>
  <c r="F22" i="91"/>
  <c r="F21" i="91"/>
  <c r="F20" i="91"/>
  <c r="J87" i="17" l="1"/>
  <c r="K87" i="17" s="1"/>
  <c r="Z87" i="17" s="1"/>
  <c r="J54" i="17"/>
  <c r="K54" i="17" s="1"/>
  <c r="Z54" i="17" s="1"/>
  <c r="J65" i="17"/>
  <c r="K65" i="17" s="1"/>
  <c r="Z65" i="17" s="1"/>
  <c r="J42" i="17"/>
  <c r="K42" i="17" s="1"/>
  <c r="Z42" i="17" s="1"/>
  <c r="J85" i="17"/>
  <c r="K85" i="17" s="1"/>
  <c r="Z85" i="17" s="1"/>
  <c r="J61" i="17"/>
  <c r="K61" i="17" s="1"/>
  <c r="Z61" i="17" s="1"/>
  <c r="J15" i="17"/>
  <c r="K15" i="17" s="1"/>
  <c r="Z15" i="17" s="1"/>
  <c r="J88" i="17"/>
  <c r="K88" i="17" s="1"/>
  <c r="Z88" i="17" s="1"/>
  <c r="J59" i="17"/>
  <c r="K59" i="17" s="1"/>
  <c r="Z59" i="17" s="1"/>
  <c r="J73" i="17"/>
  <c r="K73" i="17" s="1"/>
  <c r="Z73" i="17" s="1"/>
  <c r="J75" i="17"/>
  <c r="K75" i="17" s="1"/>
  <c r="Z75" i="17" s="1"/>
  <c r="J47" i="17"/>
  <c r="K47" i="17" s="1"/>
  <c r="Z47" i="17" s="1"/>
  <c r="J79" i="17"/>
  <c r="K79" i="17" s="1"/>
  <c r="Z79" i="17" s="1"/>
  <c r="J57" i="17"/>
  <c r="K57" i="17" s="1"/>
  <c r="Z57" i="17" s="1"/>
  <c r="J44" i="17"/>
  <c r="K44" i="17" s="1"/>
  <c r="Z44" i="17" s="1"/>
  <c r="J70" i="17"/>
  <c r="K70" i="17" s="1"/>
  <c r="Z70" i="17" s="1"/>
  <c r="J30" i="17"/>
  <c r="K30" i="17" s="1"/>
  <c r="Z30" i="17" s="1"/>
  <c r="J49" i="17"/>
  <c r="K49" i="17" s="1"/>
  <c r="Z49" i="17" s="1"/>
  <c r="J67" i="17"/>
  <c r="K67" i="17" s="1"/>
  <c r="Z67" i="17" s="1"/>
  <c r="J26" i="17"/>
  <c r="K26" i="17" s="1"/>
  <c r="Z26" i="17" s="1"/>
  <c r="J68" i="17"/>
  <c r="K68" i="17" s="1"/>
  <c r="Z68" i="17" s="1"/>
  <c r="J28" i="17"/>
  <c r="K28" i="17" s="1"/>
  <c r="Z28" i="17" s="1"/>
  <c r="P94" i="93"/>
  <c r="D18" i="93" s="1"/>
  <c r="O94" i="93"/>
  <c r="D94" i="93"/>
  <c r="Q93" i="93"/>
  <c r="Q92" i="93"/>
  <c r="Q91" i="93"/>
  <c r="E18" i="93" l="1"/>
  <c r="F18" i="93" s="1"/>
  <c r="J43" i="17"/>
  <c r="K43" i="17" s="1"/>
  <c r="Z43" i="17" s="1"/>
  <c r="J55" i="17"/>
  <c r="K55" i="17" s="1"/>
  <c r="Z55" i="17" s="1"/>
  <c r="J45" i="17"/>
  <c r="K45" i="17" s="1"/>
  <c r="Z45" i="17" s="1"/>
  <c r="J71" i="17"/>
  <c r="K71" i="17" s="1"/>
  <c r="Z71" i="17" s="1"/>
  <c r="J31" i="17"/>
  <c r="K31" i="17" s="1"/>
  <c r="Z31" i="17" s="1"/>
  <c r="J89" i="17"/>
  <c r="K89" i="17" s="1"/>
  <c r="Z89" i="17" s="1"/>
  <c r="J27" i="17"/>
  <c r="K27" i="17" s="1"/>
  <c r="Z27" i="17" s="1"/>
  <c r="J69" i="17"/>
  <c r="K69" i="17" s="1"/>
  <c r="Z69" i="17" s="1"/>
  <c r="J29" i="17"/>
  <c r="K29" i="17" s="1"/>
  <c r="Z29" i="17" s="1"/>
  <c r="Q94" i="93"/>
  <c r="N94" i="93"/>
  <c r="F19" i="91" l="1"/>
  <c r="F21" i="94"/>
  <c r="Q58" i="94"/>
  <c r="N58" i="94"/>
  <c r="Q56" i="94"/>
  <c r="N56" i="94"/>
  <c r="P59" i="94"/>
  <c r="O59" i="94"/>
  <c r="D59" i="94"/>
  <c r="Q55" i="94"/>
  <c r="N55" i="94"/>
  <c r="Q54" i="94"/>
  <c r="N54" i="94"/>
  <c r="F19" i="94"/>
  <c r="F20" i="94" l="1"/>
  <c r="D13" i="94"/>
  <c r="E13" i="94" s="1"/>
  <c r="F23" i="94"/>
  <c r="F18" i="94"/>
  <c r="F22" i="94"/>
  <c r="Q59" i="94"/>
  <c r="N59" i="94"/>
  <c r="P53" i="94"/>
  <c r="D12" i="94" s="1"/>
  <c r="E12" i="94" s="1"/>
  <c r="O53" i="94"/>
  <c r="O60" i="94" s="1"/>
  <c r="D53" i="94"/>
  <c r="Q52" i="94"/>
  <c r="N52" i="94"/>
  <c r="Q51" i="94"/>
  <c r="N51" i="94"/>
  <c r="Q50" i="94"/>
  <c r="N50" i="94"/>
  <c r="Q49" i="94"/>
  <c r="N49" i="94"/>
  <c r="Q98" i="93"/>
  <c r="Q97" i="93"/>
  <c r="Q88" i="93"/>
  <c r="Q87" i="93"/>
  <c r="Q86" i="93"/>
  <c r="Q85" i="93"/>
  <c r="Q79" i="93"/>
  <c r="Q77" i="93"/>
  <c r="A13" i="93"/>
  <c r="A12" i="93"/>
  <c r="P106" i="93"/>
  <c r="O106" i="93"/>
  <c r="D106" i="93"/>
  <c r="Q105" i="93"/>
  <c r="Q104" i="93"/>
  <c r="Q103" i="93"/>
  <c r="Q102" i="93"/>
  <c r="Q101" i="93"/>
  <c r="P100" i="93"/>
  <c r="D19" i="93" s="1"/>
  <c r="O100" i="93"/>
  <c r="D100" i="93"/>
  <c r="Q99" i="93"/>
  <c r="Q96" i="93"/>
  <c r="Q95" i="93"/>
  <c r="P90" i="93"/>
  <c r="D17" i="93" s="1"/>
  <c r="O90" i="93"/>
  <c r="D90" i="93"/>
  <c r="Q89" i="93"/>
  <c r="Q84" i="93"/>
  <c r="Q83" i="93"/>
  <c r="P82" i="93"/>
  <c r="O82" i="93"/>
  <c r="D82" i="93"/>
  <c r="Q81" i="93"/>
  <c r="Q76" i="93"/>
  <c r="Q75" i="93"/>
  <c r="P60" i="93"/>
  <c r="D13" i="93" s="1"/>
  <c r="E13" i="93" s="1"/>
  <c r="O60" i="93"/>
  <c r="D60" i="93"/>
  <c r="Q59" i="93"/>
  <c r="Q58" i="93"/>
  <c r="Q57" i="93"/>
  <c r="P56" i="93"/>
  <c r="D12" i="93" s="1"/>
  <c r="E12" i="93" s="1"/>
  <c r="O56" i="93"/>
  <c r="D56" i="93"/>
  <c r="Q55" i="93"/>
  <c r="Q54" i="93"/>
  <c r="Q53" i="93"/>
  <c r="Q52" i="93"/>
  <c r="Q51" i="93"/>
  <c r="Q50" i="93"/>
  <c r="Q49" i="93"/>
  <c r="A18" i="91"/>
  <c r="A17" i="91"/>
  <c r="A16" i="91"/>
  <c r="A15" i="91"/>
  <c r="A14" i="91"/>
  <c r="A13" i="91"/>
  <c r="A12" i="91"/>
  <c r="A13" i="92"/>
  <c r="A12" i="92"/>
  <c r="Q63" i="92"/>
  <c r="Q62" i="92"/>
  <c r="Q61" i="92"/>
  <c r="Q60" i="92"/>
  <c r="Q54" i="92"/>
  <c r="Q53" i="92"/>
  <c r="Q52" i="92"/>
  <c r="Q51" i="92"/>
  <c r="P94" i="92"/>
  <c r="O94" i="92"/>
  <c r="D94" i="92"/>
  <c r="P76" i="92"/>
  <c r="D15" i="92" s="1"/>
  <c r="E15" i="92" s="1"/>
  <c r="O76" i="92"/>
  <c r="D76" i="92"/>
  <c r="Q75" i="92"/>
  <c r="Q74" i="92"/>
  <c r="Q73" i="92"/>
  <c r="P72" i="92"/>
  <c r="D14" i="92" s="1"/>
  <c r="E14" i="92" s="1"/>
  <c r="O72" i="92"/>
  <c r="D72" i="92"/>
  <c r="Q71" i="92"/>
  <c r="Q70" i="92"/>
  <c r="Q69" i="92"/>
  <c r="P68" i="92"/>
  <c r="D13" i="92" s="1"/>
  <c r="E13" i="92" s="1"/>
  <c r="O68" i="92"/>
  <c r="D68" i="92"/>
  <c r="Q67" i="92"/>
  <c r="Q66" i="92"/>
  <c r="Q59" i="92"/>
  <c r="P58" i="92"/>
  <c r="O58" i="92"/>
  <c r="D58" i="92"/>
  <c r="Q57" i="92"/>
  <c r="Q50" i="92"/>
  <c r="Q49" i="92"/>
  <c r="N97" i="91"/>
  <c r="N96" i="91"/>
  <c r="N94" i="91"/>
  <c r="N93" i="91"/>
  <c r="N92" i="91"/>
  <c r="N91" i="91"/>
  <c r="N90" i="91"/>
  <c r="N88" i="91"/>
  <c r="N87" i="91"/>
  <c r="N86" i="91"/>
  <c r="N84" i="91"/>
  <c r="N81" i="91"/>
  <c r="N80" i="91"/>
  <c r="N79" i="91"/>
  <c r="N78" i="91"/>
  <c r="O116" i="93" l="1"/>
  <c r="D20" i="93"/>
  <c r="P116" i="93"/>
  <c r="E19" i="93"/>
  <c r="F19" i="93" s="1"/>
  <c r="E17" i="93"/>
  <c r="F17" i="93" s="1"/>
  <c r="O95" i="92"/>
  <c r="P60" i="94"/>
  <c r="D17" i="92"/>
  <c r="E17" i="92" s="1"/>
  <c r="P95" i="92"/>
  <c r="D16" i="93"/>
  <c r="E16" i="93" s="1"/>
  <c r="F16" i="93" s="1"/>
  <c r="F16" i="92"/>
  <c r="Q56" i="93"/>
  <c r="Q100" i="93"/>
  <c r="Q90" i="93"/>
  <c r="F24" i="94"/>
  <c r="Q82" i="93"/>
  <c r="N53" i="94"/>
  <c r="N60" i="94" s="1"/>
  <c r="F16" i="94"/>
  <c r="F12" i="94"/>
  <c r="F14" i="94"/>
  <c r="F15" i="94"/>
  <c r="Q53" i="94"/>
  <c r="Q60" i="94" s="1"/>
  <c r="N90" i="93"/>
  <c r="Q60" i="93"/>
  <c r="N100" i="93"/>
  <c r="N60" i="93"/>
  <c r="N106" i="93"/>
  <c r="N82" i="93"/>
  <c r="F12" i="93"/>
  <c r="F14" i="93"/>
  <c r="Q106" i="93"/>
  <c r="F15" i="93"/>
  <c r="F13" i="93"/>
  <c r="Q76" i="92"/>
  <c r="Q72" i="92"/>
  <c r="Q68" i="92"/>
  <c r="Q94" i="92"/>
  <c r="N58" i="92"/>
  <c r="Q58" i="92"/>
  <c r="D12" i="92"/>
  <c r="E12" i="92" s="1"/>
  <c r="N72" i="92"/>
  <c r="N76" i="92"/>
  <c r="N94" i="92"/>
  <c r="N68" i="92"/>
  <c r="F15" i="92"/>
  <c r="F14" i="92"/>
  <c r="F13" i="92"/>
  <c r="N76" i="91"/>
  <c r="N75" i="91"/>
  <c r="N74" i="91"/>
  <c r="N72" i="91"/>
  <c r="N68" i="91"/>
  <c r="N67" i="91"/>
  <c r="N66" i="91"/>
  <c r="N65" i="91"/>
  <c r="N64" i="91"/>
  <c r="N63" i="91"/>
  <c r="N62" i="91"/>
  <c r="N61" i="91"/>
  <c r="N60" i="91"/>
  <c r="N59" i="91"/>
  <c r="N58" i="91"/>
  <c r="N57" i="91"/>
  <c r="N55" i="91"/>
  <c r="N54" i="91"/>
  <c r="N53" i="91"/>
  <c r="N51" i="91"/>
  <c r="N50" i="91"/>
  <c r="N49" i="91"/>
  <c r="Q116" i="93" l="1"/>
  <c r="E20" i="93"/>
  <c r="E26" i="93" s="1"/>
  <c r="Q95" i="92"/>
  <c r="F17" i="92"/>
  <c r="N95" i="92"/>
  <c r="D26" i="92"/>
  <c r="E26" i="92" s="1"/>
  <c r="F26" i="92" s="1"/>
  <c r="D26" i="94"/>
  <c r="E26" i="94" s="1"/>
  <c r="F26" i="94" s="1"/>
  <c r="D26" i="93"/>
  <c r="F17" i="94"/>
  <c r="F13" i="94"/>
  <c r="F12" i="92"/>
  <c r="Q96" i="91"/>
  <c r="Q94" i="91"/>
  <c r="Q93" i="91"/>
  <c r="Q92" i="91"/>
  <c r="Q81" i="91"/>
  <c r="Q80" i="91"/>
  <c r="P98" i="91"/>
  <c r="O98" i="91"/>
  <c r="D98" i="91"/>
  <c r="Q97" i="91"/>
  <c r="Q91" i="91"/>
  <c r="Q90" i="91"/>
  <c r="P89" i="91"/>
  <c r="D17" i="91" s="1"/>
  <c r="E17" i="91" s="1"/>
  <c r="O89" i="91"/>
  <c r="D89" i="91"/>
  <c r="Q88" i="91"/>
  <c r="Q87" i="91"/>
  <c r="Q86" i="91"/>
  <c r="P85" i="91"/>
  <c r="D16" i="91" s="1"/>
  <c r="E16" i="91" s="1"/>
  <c r="O85" i="91"/>
  <c r="D85" i="91"/>
  <c r="Q84" i="91"/>
  <c r="Q79" i="91"/>
  <c r="Q78" i="91"/>
  <c r="P77" i="91"/>
  <c r="D15" i="91" s="1"/>
  <c r="E15" i="91" s="1"/>
  <c r="O77" i="91"/>
  <c r="D77" i="91"/>
  <c r="Q76" i="91"/>
  <c r="Q75" i="91"/>
  <c r="Q74" i="91"/>
  <c r="Q67" i="91"/>
  <c r="Q66" i="91"/>
  <c r="Q65" i="91"/>
  <c r="Q64" i="91"/>
  <c r="Q63" i="91"/>
  <c r="Q62" i="91"/>
  <c r="Q61" i="91"/>
  <c r="Q60" i="91"/>
  <c r="Q59" i="91"/>
  <c r="Q58" i="91"/>
  <c r="O56" i="91"/>
  <c r="P73" i="91"/>
  <c r="D14" i="91" s="1"/>
  <c r="E14" i="91" s="1"/>
  <c r="O73" i="91"/>
  <c r="D73" i="91"/>
  <c r="Q72" i="91"/>
  <c r="Q68" i="91"/>
  <c r="Q57" i="91"/>
  <c r="D56" i="91"/>
  <c r="D52" i="91"/>
  <c r="P56" i="91"/>
  <c r="D13" i="91" s="1"/>
  <c r="E13" i="91" s="1"/>
  <c r="Q55" i="91"/>
  <c r="Q54" i="91"/>
  <c r="Q53" i="91"/>
  <c r="Q51" i="91"/>
  <c r="Q50" i="91"/>
  <c r="Q49" i="91"/>
  <c r="P52" i="91"/>
  <c r="D12" i="91" s="1"/>
  <c r="E12" i="91" s="1"/>
  <c r="O52" i="91"/>
  <c r="F20" i="93" l="1"/>
  <c r="F26" i="93" s="1"/>
  <c r="D18" i="91"/>
  <c r="P99" i="91"/>
  <c r="O99" i="91"/>
  <c r="F13" i="91"/>
  <c r="F17" i="91"/>
  <c r="F15" i="91"/>
  <c r="F14" i="91"/>
  <c r="F16" i="91"/>
  <c r="F12" i="91"/>
  <c r="Q85" i="91"/>
  <c r="Q89" i="91"/>
  <c r="Q98" i="91"/>
  <c r="N89" i="91"/>
  <c r="N98" i="91"/>
  <c r="N85" i="91"/>
  <c r="Q77" i="91"/>
  <c r="Q73" i="91"/>
  <c r="N77" i="91"/>
  <c r="N73" i="91"/>
  <c r="N56" i="91"/>
  <c r="Q52" i="91"/>
  <c r="Q56" i="91"/>
  <c r="D26" i="91" l="1"/>
  <c r="E18" i="91"/>
  <c r="F18" i="91" s="1"/>
  <c r="Q99" i="91"/>
  <c r="N52" i="91"/>
  <c r="N99" i="91" s="1"/>
  <c r="P90" i="17" l="1"/>
  <c r="E26" i="91"/>
  <c r="F26" i="91" s="1"/>
  <c r="H71" i="23" l="1"/>
  <c r="I71" i="23" s="1"/>
  <c r="J71" i="23" s="1"/>
  <c r="G70" i="23"/>
  <c r="H70" i="23" s="1"/>
  <c r="I70" i="23" s="1"/>
  <c r="J70" i="23" s="1"/>
  <c r="H67" i="23"/>
  <c r="I67" i="23" s="1"/>
  <c r="J67" i="23" s="1"/>
  <c r="H66" i="23"/>
  <c r="I66" i="23" s="1"/>
  <c r="J66" i="23" s="1"/>
  <c r="L76" i="23" l="1"/>
  <c r="M76" i="23" s="1"/>
  <c r="N76" i="23" s="1"/>
  <c r="O76" i="23" s="1"/>
  <c r="P76" i="23" s="1"/>
  <c r="L75" i="23"/>
  <c r="M75" i="23" s="1"/>
  <c r="N75" i="23" s="1"/>
  <c r="O75" i="23" s="1"/>
  <c r="P75" i="23" s="1"/>
  <c r="L74" i="23"/>
  <c r="M74" i="23" s="1"/>
  <c r="N74" i="23" s="1"/>
  <c r="O74" i="23" s="1"/>
  <c r="P74" i="23" s="1"/>
  <c r="L73" i="23"/>
  <c r="M73" i="23" s="1"/>
  <c r="N73" i="23" s="1"/>
  <c r="O73" i="23" s="1"/>
  <c r="P73" i="23" s="1"/>
  <c r="L72" i="23"/>
  <c r="M72" i="23" s="1"/>
  <c r="N72" i="23" s="1"/>
  <c r="O72" i="23" s="1"/>
  <c r="P72" i="23" s="1"/>
  <c r="L71" i="23"/>
  <c r="L70" i="23"/>
  <c r="L69" i="23"/>
  <c r="M69" i="23" s="1"/>
  <c r="N69" i="23" s="1"/>
  <c r="O69" i="23" s="1"/>
  <c r="P69" i="23" s="1"/>
  <c r="L68" i="23"/>
  <c r="M68" i="23" s="1"/>
  <c r="N68" i="23" s="1"/>
  <c r="O68" i="23" s="1"/>
  <c r="P68" i="23" s="1"/>
  <c r="L67" i="23"/>
  <c r="L66" i="23"/>
  <c r="L65" i="23"/>
  <c r="K76" i="23"/>
  <c r="K75" i="23"/>
  <c r="K74" i="23"/>
  <c r="K73" i="23"/>
  <c r="K72" i="23"/>
  <c r="K71" i="23"/>
  <c r="K70" i="23"/>
  <c r="K69" i="23"/>
  <c r="K68" i="23"/>
  <c r="K67" i="23"/>
  <c r="K66" i="23"/>
  <c r="K65" i="23"/>
  <c r="F76" i="23"/>
  <c r="G76" i="23" s="1"/>
  <c r="H76" i="23" s="1"/>
  <c r="I76" i="23" s="1"/>
  <c r="J76" i="23" s="1"/>
  <c r="F75" i="23"/>
  <c r="G75" i="23" s="1"/>
  <c r="H75" i="23" s="1"/>
  <c r="I75" i="23" s="1"/>
  <c r="J75" i="23" s="1"/>
  <c r="F74" i="23"/>
  <c r="G74" i="23" s="1"/>
  <c r="H74" i="23" s="1"/>
  <c r="I74" i="23" s="1"/>
  <c r="J74" i="23" s="1"/>
  <c r="F73" i="23"/>
  <c r="G73" i="23" s="1"/>
  <c r="H73" i="23" s="1"/>
  <c r="I73" i="23" s="1"/>
  <c r="J73" i="23" s="1"/>
  <c r="F72" i="23"/>
  <c r="G72" i="23" s="1"/>
  <c r="H72" i="23" s="1"/>
  <c r="I72" i="23" s="1"/>
  <c r="J72" i="23" s="1"/>
  <c r="F71" i="23"/>
  <c r="F69" i="23"/>
  <c r="G69" i="23" s="1"/>
  <c r="H69" i="23" s="1"/>
  <c r="I69" i="23" s="1"/>
  <c r="J69" i="23" s="1"/>
  <c r="F68" i="23"/>
  <c r="G68" i="23" s="1"/>
  <c r="H68" i="23" s="1"/>
  <c r="I68" i="23" s="1"/>
  <c r="J68" i="23" s="1"/>
  <c r="F67" i="23"/>
  <c r="F66" i="23"/>
  <c r="E76" i="23"/>
  <c r="E75" i="23"/>
  <c r="E74" i="23"/>
  <c r="E73" i="23"/>
  <c r="E72" i="23"/>
  <c r="E71" i="23"/>
  <c r="E70" i="23"/>
  <c r="E69" i="23"/>
  <c r="E68" i="23"/>
  <c r="E67" i="23"/>
  <c r="E66" i="23"/>
  <c r="E65" i="23"/>
  <c r="D76" i="23"/>
  <c r="D75" i="23"/>
  <c r="D74" i="23"/>
  <c r="D73" i="23"/>
  <c r="D72" i="23"/>
  <c r="D71" i="23"/>
  <c r="D70" i="23"/>
  <c r="D69" i="23"/>
  <c r="D68" i="23"/>
  <c r="D67" i="23"/>
  <c r="D66" i="23"/>
  <c r="C76" i="23"/>
  <c r="C75" i="23"/>
  <c r="C74" i="23"/>
  <c r="C73" i="23"/>
  <c r="C72" i="23"/>
  <c r="C71" i="23"/>
  <c r="C70" i="23"/>
  <c r="C69" i="23"/>
  <c r="C68" i="23"/>
  <c r="C67" i="23"/>
  <c r="C66" i="23"/>
  <c r="D65" i="23"/>
  <c r="C65" i="23"/>
  <c r="S27" i="23"/>
  <c r="T27" i="23" s="1"/>
  <c r="A27" i="23"/>
  <c r="A28" i="23"/>
  <c r="A29" i="23"/>
  <c r="A30" i="23"/>
  <c r="C27" i="23"/>
  <c r="D27" i="23"/>
  <c r="E27" i="23"/>
  <c r="F27" i="23"/>
  <c r="G27" i="23" s="1"/>
  <c r="C28" i="23"/>
  <c r="D28" i="23"/>
  <c r="E28" i="23"/>
  <c r="F28" i="23"/>
  <c r="G28" i="23" s="1"/>
  <c r="C29" i="23"/>
  <c r="D29" i="23"/>
  <c r="E29" i="23"/>
  <c r="F29" i="23"/>
  <c r="G29" i="23" s="1"/>
  <c r="H29" i="23" s="1"/>
  <c r="I29" i="23" s="1"/>
  <c r="C30" i="23"/>
  <c r="D30" i="23"/>
  <c r="E30" i="23"/>
  <c r="F30" i="23"/>
  <c r="G30" i="23" s="1"/>
  <c r="H30" i="23" s="1"/>
  <c r="I30" i="23" s="1"/>
  <c r="J30" i="23" s="1"/>
  <c r="K30" i="23" s="1"/>
  <c r="A31" i="23"/>
  <c r="C31" i="23"/>
  <c r="D31" i="23"/>
  <c r="E31" i="23"/>
  <c r="F31" i="23"/>
  <c r="G31" i="23" s="1"/>
  <c r="H31" i="23" s="1"/>
  <c r="I31" i="23" s="1"/>
  <c r="J31" i="23" s="1"/>
  <c r="K31" i="23" s="1"/>
  <c r="A32" i="23"/>
  <c r="C32" i="23"/>
  <c r="D32" i="23"/>
  <c r="E32" i="23"/>
  <c r="F32" i="23"/>
  <c r="G32" i="23" s="1"/>
  <c r="H32" i="23" s="1"/>
  <c r="I32" i="23" s="1"/>
  <c r="J32" i="23" s="1"/>
  <c r="K32" i="23" s="1"/>
  <c r="A33" i="23"/>
  <c r="C33" i="23"/>
  <c r="D33" i="23"/>
  <c r="E33" i="23"/>
  <c r="F33" i="23"/>
  <c r="G33" i="23" s="1"/>
  <c r="A34" i="23"/>
  <c r="C34" i="23"/>
  <c r="D34" i="23"/>
  <c r="E34" i="23"/>
  <c r="F34" i="23"/>
  <c r="G34" i="23" s="1"/>
  <c r="A35" i="23"/>
  <c r="C35" i="23"/>
  <c r="D35" i="23"/>
  <c r="E35" i="23"/>
  <c r="F35" i="23"/>
  <c r="G35" i="23" s="1"/>
  <c r="A36" i="23"/>
  <c r="C36" i="23"/>
  <c r="D36" i="23"/>
  <c r="E36" i="23"/>
  <c r="F36" i="23"/>
  <c r="G36" i="23" s="1"/>
  <c r="A37" i="23"/>
  <c r="C37" i="23"/>
  <c r="D37" i="23"/>
  <c r="E37" i="23"/>
  <c r="F37" i="23"/>
  <c r="G37" i="23" s="1"/>
  <c r="A38" i="23"/>
  <c r="C38" i="23"/>
  <c r="D38" i="23"/>
  <c r="E38" i="23"/>
  <c r="F38" i="23"/>
  <c r="A39" i="23"/>
  <c r="C39" i="23"/>
  <c r="D39" i="23"/>
  <c r="E39" i="23"/>
  <c r="F39" i="23"/>
  <c r="G39" i="23" s="1"/>
  <c r="A40" i="23"/>
  <c r="C40" i="23"/>
  <c r="D40" i="23"/>
  <c r="E40" i="23"/>
  <c r="F40" i="23"/>
  <c r="G40" i="23" s="1"/>
  <c r="A41" i="23"/>
  <c r="C41" i="23"/>
  <c r="D41" i="23"/>
  <c r="E41" i="23"/>
  <c r="F41" i="23"/>
  <c r="G41" i="23" s="1"/>
  <c r="H41" i="23" s="1"/>
  <c r="I41" i="23" s="1"/>
  <c r="J41" i="23" s="1"/>
  <c r="K41" i="23" s="1"/>
  <c r="L41" i="23" s="1"/>
  <c r="M41" i="23" s="1"/>
  <c r="N41" i="23" s="1"/>
  <c r="O41" i="23" s="1"/>
  <c r="P41" i="23" s="1"/>
  <c r="Q41" i="23" s="1"/>
  <c r="A42" i="23"/>
  <c r="C42" i="23"/>
  <c r="D42" i="23"/>
  <c r="E42" i="23"/>
  <c r="F42" i="23"/>
  <c r="G42" i="23" s="1"/>
  <c r="A43" i="23"/>
  <c r="C43" i="23"/>
  <c r="D43" i="23"/>
  <c r="E43" i="23"/>
  <c r="F43" i="23"/>
  <c r="G43" i="23" s="1"/>
  <c r="A44" i="23"/>
  <c r="C44" i="23"/>
  <c r="D44" i="23"/>
  <c r="E44" i="23"/>
  <c r="F44" i="23"/>
  <c r="G44" i="23" s="1"/>
  <c r="A45" i="23"/>
  <c r="C45" i="23"/>
  <c r="D45" i="23"/>
  <c r="E45" i="23"/>
  <c r="F45" i="23"/>
  <c r="G45" i="23" s="1"/>
  <c r="A46" i="23"/>
  <c r="C46" i="23"/>
  <c r="D46" i="23"/>
  <c r="E46" i="23"/>
  <c r="F46" i="23"/>
  <c r="G46" i="23" s="1"/>
  <c r="H46" i="23" s="1"/>
  <c r="I46" i="23" s="1"/>
  <c r="A47" i="23"/>
  <c r="C47" i="23"/>
  <c r="D47" i="23"/>
  <c r="E47" i="23"/>
  <c r="F47" i="23"/>
  <c r="G47" i="23" s="1"/>
  <c r="H47" i="23" s="1"/>
  <c r="I47" i="23" s="1"/>
  <c r="A48" i="23"/>
  <c r="C48" i="23"/>
  <c r="D48" i="23"/>
  <c r="E48" i="23"/>
  <c r="F48" i="23"/>
  <c r="G48" i="23" s="1"/>
  <c r="H48" i="23" s="1"/>
  <c r="I48" i="23" s="1"/>
  <c r="J48" i="23" s="1"/>
  <c r="K48" i="23" s="1"/>
  <c r="A49" i="23"/>
  <c r="C49" i="23"/>
  <c r="D49" i="23"/>
  <c r="E49" i="23"/>
  <c r="F49" i="23"/>
  <c r="A50" i="23"/>
  <c r="C50" i="23"/>
  <c r="D50" i="23"/>
  <c r="E50" i="23"/>
  <c r="F50" i="23"/>
  <c r="G50" i="23" s="1"/>
  <c r="A51" i="23"/>
  <c r="C51" i="23"/>
  <c r="D51" i="23"/>
  <c r="E51" i="23"/>
  <c r="F51" i="23"/>
  <c r="G51" i="23" s="1"/>
  <c r="A52" i="23"/>
  <c r="C52" i="23"/>
  <c r="D52" i="23"/>
  <c r="E52" i="23"/>
  <c r="F52" i="23"/>
  <c r="G52" i="23" s="1"/>
  <c r="A53" i="23"/>
  <c r="C53" i="23"/>
  <c r="D53" i="23"/>
  <c r="E53" i="23"/>
  <c r="F53" i="23"/>
  <c r="G53" i="23" s="1"/>
  <c r="A54" i="23"/>
  <c r="C54" i="23"/>
  <c r="D54" i="23"/>
  <c r="E54" i="23"/>
  <c r="F54" i="23"/>
  <c r="G54" i="23" s="1"/>
  <c r="H54" i="23" s="1"/>
  <c r="I54" i="23" s="1"/>
  <c r="A55" i="23"/>
  <c r="C55" i="23"/>
  <c r="D55" i="23"/>
  <c r="E55" i="23"/>
  <c r="F55" i="23"/>
  <c r="G55" i="23" s="1"/>
  <c r="H55" i="23" s="1"/>
  <c r="I55" i="23" s="1"/>
  <c r="A56" i="23"/>
  <c r="C56" i="23"/>
  <c r="D56" i="23"/>
  <c r="E56" i="23"/>
  <c r="F56" i="23"/>
  <c r="A57" i="23"/>
  <c r="C57" i="23"/>
  <c r="D57" i="23"/>
  <c r="E57" i="23"/>
  <c r="F57" i="23"/>
  <c r="G57" i="23" s="1"/>
  <c r="H57" i="23" s="1"/>
  <c r="I57" i="23" s="1"/>
  <c r="J57" i="23" s="1"/>
  <c r="K57" i="23" s="1"/>
  <c r="A58" i="23"/>
  <c r="C58" i="23"/>
  <c r="D58" i="23"/>
  <c r="E58" i="23"/>
  <c r="F58" i="23"/>
  <c r="G58" i="23" s="1"/>
  <c r="H58" i="23" s="1"/>
  <c r="I58" i="23" s="1"/>
  <c r="A59" i="23"/>
  <c r="C59" i="23"/>
  <c r="D59" i="23"/>
  <c r="E59" i="23"/>
  <c r="F59" i="23"/>
  <c r="S59" i="23"/>
  <c r="S58" i="23"/>
  <c r="T58" i="23" s="1"/>
  <c r="U57" i="23" s="1"/>
  <c r="V58" i="23" s="1"/>
  <c r="S57" i="23"/>
  <c r="T57" i="23" s="1"/>
  <c r="U56" i="23" s="1"/>
  <c r="V57" i="23" s="1"/>
  <c r="W57" i="23" s="1"/>
  <c r="X57" i="23" s="1"/>
  <c r="S56" i="23"/>
  <c r="S55" i="23"/>
  <c r="T55" i="23" s="1"/>
  <c r="U54" i="23" s="1"/>
  <c r="V55" i="23" s="1"/>
  <c r="S54" i="23"/>
  <c r="T54" i="23" s="1"/>
  <c r="U53" i="23" s="1"/>
  <c r="V54" i="23" s="1"/>
  <c r="S53" i="23"/>
  <c r="T53" i="23" s="1"/>
  <c r="S52" i="23"/>
  <c r="T52" i="23" s="1"/>
  <c r="S51" i="23"/>
  <c r="T51" i="23" s="1"/>
  <c r="S50" i="23"/>
  <c r="T50" i="23" s="1"/>
  <c r="S49" i="23"/>
  <c r="S48" i="23"/>
  <c r="T48" i="23" s="1"/>
  <c r="U47" i="23" s="1"/>
  <c r="V48" i="23" s="1"/>
  <c r="W48" i="23" s="1"/>
  <c r="X48" i="23" s="1"/>
  <c r="S47" i="23"/>
  <c r="T47" i="23" s="1"/>
  <c r="U46" i="23" s="1"/>
  <c r="V47" i="23" s="1"/>
  <c r="S46" i="23"/>
  <c r="T46" i="23" s="1"/>
  <c r="U45" i="23" s="1"/>
  <c r="V46" i="23" s="1"/>
  <c r="S45" i="23"/>
  <c r="T45" i="23" s="1"/>
  <c r="S44" i="23"/>
  <c r="T44" i="23" s="1"/>
  <c r="S43" i="23"/>
  <c r="T43" i="23" s="1"/>
  <c r="S42" i="23"/>
  <c r="T42" i="23" s="1"/>
  <c r="S41" i="23"/>
  <c r="T41" i="23" s="1"/>
  <c r="U40" i="23" s="1"/>
  <c r="V41" i="23" s="1"/>
  <c r="W41" i="23" s="1"/>
  <c r="X41" i="23" s="1"/>
  <c r="Y41" i="23" s="1"/>
  <c r="Z41" i="23" s="1"/>
  <c r="AA41" i="23" s="1"/>
  <c r="AB41" i="23" s="1"/>
  <c r="AC41" i="23" s="1"/>
  <c r="AD41" i="23" s="1"/>
  <c r="S40" i="23"/>
  <c r="T40" i="23" s="1"/>
  <c r="S39" i="23"/>
  <c r="T39" i="23" s="1"/>
  <c r="S38" i="23"/>
  <c r="S37" i="23"/>
  <c r="T37" i="23" s="1"/>
  <c r="S36" i="23"/>
  <c r="T36" i="23" s="1"/>
  <c r="S35" i="23"/>
  <c r="T35" i="23" s="1"/>
  <c r="S34" i="23"/>
  <c r="T34" i="23" s="1"/>
  <c r="S33" i="23"/>
  <c r="T33" i="23" s="1"/>
  <c r="S32" i="23"/>
  <c r="T32" i="23" s="1"/>
  <c r="U31" i="23" s="1"/>
  <c r="V32" i="23" s="1"/>
  <c r="W32" i="23" s="1"/>
  <c r="X32" i="23" s="1"/>
  <c r="S31" i="23"/>
  <c r="T31" i="23" s="1"/>
  <c r="U30" i="23" s="1"/>
  <c r="V31" i="23" s="1"/>
  <c r="W31" i="23" s="1"/>
  <c r="X31" i="23" s="1"/>
  <c r="S30" i="23"/>
  <c r="T30" i="23" s="1"/>
  <c r="U29" i="23" s="1"/>
  <c r="V30" i="23" s="1"/>
  <c r="W30" i="23" s="1"/>
  <c r="X30" i="23" s="1"/>
  <c r="S29" i="23"/>
  <c r="T29" i="23" s="1"/>
  <c r="U28" i="23" s="1"/>
  <c r="V29" i="23" s="1"/>
  <c r="S28" i="23"/>
  <c r="T28" i="23" s="1"/>
  <c r="R59" i="23"/>
  <c r="R58" i="23"/>
  <c r="R57" i="23"/>
  <c r="R56" i="23"/>
  <c r="R55" i="23"/>
  <c r="R54" i="23"/>
  <c r="R52" i="23"/>
  <c r="R53" i="23"/>
  <c r="R51" i="23"/>
  <c r="R50" i="23"/>
  <c r="R49" i="23"/>
  <c r="R48" i="23"/>
  <c r="R47" i="23"/>
  <c r="R46" i="23"/>
  <c r="R45" i="23"/>
  <c r="R44" i="23"/>
  <c r="R43" i="23"/>
  <c r="R42" i="23"/>
  <c r="R41" i="23"/>
  <c r="R40" i="23"/>
  <c r="R39" i="23"/>
  <c r="R38" i="23"/>
  <c r="R37" i="23"/>
  <c r="R36" i="23"/>
  <c r="R35" i="23"/>
  <c r="R34" i="23"/>
  <c r="R33" i="23"/>
  <c r="R32" i="23"/>
  <c r="R31" i="23"/>
  <c r="R30" i="23"/>
  <c r="R29" i="23"/>
  <c r="R28" i="23"/>
  <c r="R27" i="23"/>
  <c r="A65" i="23"/>
  <c r="A66" i="23"/>
  <c r="A67" i="23"/>
  <c r="A68" i="23"/>
  <c r="A69" i="23"/>
  <c r="A70" i="23"/>
  <c r="A71" i="23"/>
  <c r="A72" i="23"/>
  <c r="A73" i="23"/>
  <c r="A74" i="23"/>
  <c r="A75" i="23"/>
  <c r="A76" i="23"/>
  <c r="B76" i="23"/>
  <c r="B75" i="23"/>
  <c r="B74" i="23"/>
  <c r="B73" i="23"/>
  <c r="B72" i="23"/>
  <c r="B71" i="23"/>
  <c r="B70" i="23"/>
  <c r="B69" i="23"/>
  <c r="B68" i="23"/>
  <c r="B67" i="23"/>
  <c r="B66" i="23"/>
  <c r="B65" i="23"/>
  <c r="C5" i="23"/>
  <c r="C6" i="23" s="1"/>
  <c r="C7" i="23" s="1"/>
  <c r="C8" i="23" s="1"/>
  <c r="C9" i="23" s="1"/>
  <c r="C10" i="23" s="1"/>
  <c r="C11" i="23" s="1"/>
  <c r="C12" i="23" s="1"/>
  <c r="C13" i="23" s="1"/>
  <c r="C14" i="23" s="1"/>
  <c r="C15" i="23" s="1"/>
  <c r="C16" i="23" s="1"/>
  <c r="C17" i="23" s="1"/>
  <c r="C18" i="23" s="1"/>
  <c r="C19" i="23" s="1"/>
  <c r="C20" i="23" s="1"/>
  <c r="C21" i="23" s="1"/>
  <c r="U7" i="15"/>
  <c r="AO7" i="15" s="1"/>
  <c r="AP7" i="15" s="1"/>
  <c r="S7" i="15"/>
  <c r="AM7" i="15" s="1"/>
  <c r="AN7" i="15" s="1"/>
  <c r="Q7" i="15"/>
  <c r="AK7" i="15" s="1"/>
  <c r="AL7" i="15" s="1"/>
  <c r="O7" i="15"/>
  <c r="AI7" i="15" s="1"/>
  <c r="AJ7" i="15" s="1"/>
  <c r="M7" i="15"/>
  <c r="AG7" i="15" s="1"/>
  <c r="AH7" i="15" s="1"/>
  <c r="K7" i="15"/>
  <c r="AE7" i="15" s="1"/>
  <c r="AF7" i="15" s="1"/>
  <c r="I7" i="15"/>
  <c r="AC7" i="15" s="1"/>
  <c r="AD7" i="15" s="1"/>
  <c r="G7" i="15"/>
  <c r="AA7" i="15" s="1"/>
  <c r="AB7" i="15" s="1"/>
  <c r="E7" i="15"/>
  <c r="Y7" i="15" s="1"/>
  <c r="Z7" i="15" s="1"/>
  <c r="C7" i="15"/>
  <c r="W7" i="15" s="1"/>
  <c r="X7" i="15" s="1"/>
  <c r="F8" i="15"/>
  <c r="F9" i="15" s="1"/>
  <c r="N8" i="15"/>
  <c r="N9" i="15" s="1"/>
  <c r="P8" i="15"/>
  <c r="P9" i="15" s="1"/>
  <c r="T8" i="15"/>
  <c r="U8" i="15" s="1"/>
  <c r="AO8" i="15" s="1"/>
  <c r="AP8" i="15" s="1"/>
  <c r="B8" i="15"/>
  <c r="B9" i="15" s="1"/>
  <c r="B10" i="15" s="1"/>
  <c r="L8" i="15"/>
  <c r="L9" i="15" s="1"/>
  <c r="D8" i="15"/>
  <c r="D9" i="15" s="1"/>
  <c r="H8" i="15"/>
  <c r="H9" i="15" s="1"/>
  <c r="R8" i="15"/>
  <c r="R9" i="15" s="1"/>
  <c r="J8" i="15"/>
  <c r="J9" i="15" s="1"/>
  <c r="M5" i="23" l="1"/>
  <c r="D4" i="23"/>
  <c r="E4" i="23"/>
  <c r="F4" i="23"/>
  <c r="J4" i="23"/>
  <c r="K4" i="23"/>
  <c r="N50" i="93" s="1"/>
  <c r="L4" i="23"/>
  <c r="M4" i="23"/>
  <c r="I4" i="23"/>
  <c r="N59" i="103" s="1"/>
  <c r="N60" i="103" s="1"/>
  <c r="N65" i="103" s="1"/>
  <c r="H4" i="23"/>
  <c r="G4" i="23"/>
  <c r="C8" i="15"/>
  <c r="W8" i="15" s="1"/>
  <c r="X8" i="15" s="1"/>
  <c r="G8" i="15"/>
  <c r="AA8" i="15" s="1"/>
  <c r="AB8" i="15" s="1"/>
  <c r="S8" i="15"/>
  <c r="AM8" i="15" s="1"/>
  <c r="AN8" i="15" s="1"/>
  <c r="I8" i="15"/>
  <c r="AC8" i="15" s="1"/>
  <c r="AD8" i="15" s="1"/>
  <c r="E8" i="15"/>
  <c r="Y8" i="15" s="1"/>
  <c r="Z8" i="15" s="1"/>
  <c r="C10" i="15"/>
  <c r="W10" i="15" s="1"/>
  <c r="X10" i="15" s="1"/>
  <c r="B11" i="15"/>
  <c r="I9" i="15"/>
  <c r="AC9" i="15" s="1"/>
  <c r="AD9" i="15" s="1"/>
  <c r="H10" i="15"/>
  <c r="C9" i="15"/>
  <c r="W9" i="15" s="1"/>
  <c r="X9" i="15" s="1"/>
  <c r="M8" i="15"/>
  <c r="AG8" i="15" s="1"/>
  <c r="AH8" i="15" s="1"/>
  <c r="K8" i="15"/>
  <c r="AE8" i="15" s="1"/>
  <c r="AF8" i="15" s="1"/>
  <c r="T9" i="15"/>
  <c r="T10" i="15" s="1"/>
  <c r="T11" i="15" s="1"/>
  <c r="R10" i="15"/>
  <c r="S9" i="15"/>
  <c r="AM9" i="15" s="1"/>
  <c r="AN9" i="15" s="1"/>
  <c r="Q8" i="15"/>
  <c r="AK8" i="15" s="1"/>
  <c r="AL8" i="15" s="1"/>
  <c r="L10" i="15"/>
  <c r="M9" i="15"/>
  <c r="AG9" i="15" s="1"/>
  <c r="AH9" i="15" s="1"/>
  <c r="J10" i="15"/>
  <c r="K9" i="15"/>
  <c r="AE9" i="15" s="1"/>
  <c r="AF9" i="15" s="1"/>
  <c r="G9" i="15"/>
  <c r="AA9" i="15" s="1"/>
  <c r="AB9" i="15" s="1"/>
  <c r="F10" i="15"/>
  <c r="E9" i="15"/>
  <c r="Y9" i="15" s="1"/>
  <c r="Z9" i="15" s="1"/>
  <c r="D10" i="15"/>
  <c r="Q9" i="15"/>
  <c r="AK9" i="15" s="1"/>
  <c r="AL9" i="15" s="1"/>
  <c r="P10" i="15"/>
  <c r="N10" i="15"/>
  <c r="O9" i="15"/>
  <c r="AI9" i="15" s="1"/>
  <c r="AJ9" i="15" s="1"/>
  <c r="O8" i="15"/>
  <c r="AI8" i="15" s="1"/>
  <c r="AJ8" i="15" s="1"/>
  <c r="J6" i="23" l="1"/>
  <c r="L6" i="23"/>
  <c r="G6" i="23"/>
  <c r="I5" i="23"/>
  <c r="D6" i="23"/>
  <c r="E5" i="23"/>
  <c r="I6" i="23"/>
  <c r="G5" i="23"/>
  <c r="E6" i="23"/>
  <c r="L5" i="23"/>
  <c r="F5" i="23"/>
  <c r="J5" i="23"/>
  <c r="K6" i="23"/>
  <c r="F6" i="23"/>
  <c r="D5" i="23"/>
  <c r="K5" i="23"/>
  <c r="H5" i="23"/>
  <c r="H6" i="23"/>
  <c r="D7" i="23"/>
  <c r="H11" i="15"/>
  <c r="I11" i="15" s="1"/>
  <c r="AC11" i="15" s="1"/>
  <c r="AD11" i="15" s="1"/>
  <c r="I10" i="15"/>
  <c r="AC10" i="15" s="1"/>
  <c r="AD10" i="15" s="1"/>
  <c r="B12" i="15"/>
  <c r="C11" i="15"/>
  <c r="W11" i="15" s="1"/>
  <c r="X11" i="15" s="1"/>
  <c r="U9" i="15"/>
  <c r="AO9" i="15" s="1"/>
  <c r="AP9" i="15" s="1"/>
  <c r="U10" i="15"/>
  <c r="AO10" i="15" s="1"/>
  <c r="AP10" i="15" s="1"/>
  <c r="T12" i="15"/>
  <c r="U11" i="15"/>
  <c r="AO11" i="15" s="1"/>
  <c r="AP11" i="15" s="1"/>
  <c r="S10" i="15"/>
  <c r="AM10" i="15" s="1"/>
  <c r="AN10" i="15" s="1"/>
  <c r="R11" i="15"/>
  <c r="M10" i="15"/>
  <c r="AG10" i="15" s="1"/>
  <c r="AH10" i="15" s="1"/>
  <c r="L11" i="15"/>
  <c r="J11" i="15"/>
  <c r="K10" i="15"/>
  <c r="AE10" i="15" s="1"/>
  <c r="AF10" i="15" s="1"/>
  <c r="F11" i="15"/>
  <c r="G10" i="15"/>
  <c r="AA10" i="15" s="1"/>
  <c r="AB10" i="15" s="1"/>
  <c r="E10" i="15"/>
  <c r="Y10" i="15" s="1"/>
  <c r="Z10" i="15" s="1"/>
  <c r="D11" i="15"/>
  <c r="P11" i="15"/>
  <c r="Q10" i="15"/>
  <c r="AK10" i="15" s="1"/>
  <c r="AL10" i="15" s="1"/>
  <c r="O10" i="15"/>
  <c r="AI10" i="15" s="1"/>
  <c r="AJ10" i="15" s="1"/>
  <c r="N11" i="15"/>
  <c r="K7" i="23" l="1"/>
  <c r="N51" i="93" s="1"/>
  <c r="E7" i="23"/>
  <c r="G8" i="23"/>
  <c r="F7" i="23"/>
  <c r="M8" i="23"/>
  <c r="M7" i="23"/>
  <c r="M6" i="23"/>
  <c r="H7" i="23"/>
  <c r="D8" i="23"/>
  <c r="G7" i="23"/>
  <c r="I7" i="23"/>
  <c r="L7" i="23"/>
  <c r="J7" i="23"/>
  <c r="H12" i="15"/>
  <c r="H13" i="15" s="1"/>
  <c r="H14" i="15" s="1"/>
  <c r="B13" i="15"/>
  <c r="C12" i="15"/>
  <c r="W12" i="15" s="1"/>
  <c r="X12" i="15" s="1"/>
  <c r="T13" i="15"/>
  <c r="U12" i="15"/>
  <c r="AO12" i="15" s="1"/>
  <c r="AP12" i="15" s="1"/>
  <c r="S11" i="15"/>
  <c r="AM11" i="15" s="1"/>
  <c r="AN11" i="15" s="1"/>
  <c r="R12" i="15"/>
  <c r="L12" i="15"/>
  <c r="M11" i="15"/>
  <c r="AG11" i="15" s="1"/>
  <c r="AH11" i="15" s="1"/>
  <c r="K11" i="15"/>
  <c r="AE11" i="15" s="1"/>
  <c r="AF11" i="15" s="1"/>
  <c r="J12" i="15"/>
  <c r="F12" i="15"/>
  <c r="G11" i="15"/>
  <c r="AA11" i="15" s="1"/>
  <c r="AB11" i="15" s="1"/>
  <c r="E11" i="15"/>
  <c r="Y11" i="15" s="1"/>
  <c r="Z11" i="15" s="1"/>
  <c r="D12" i="15"/>
  <c r="Q11" i="15"/>
  <c r="AK11" i="15" s="1"/>
  <c r="AL11" i="15" s="1"/>
  <c r="P12" i="15"/>
  <c r="O11" i="15"/>
  <c r="AI11" i="15" s="1"/>
  <c r="AJ11" i="15" s="1"/>
  <c r="N12" i="15"/>
  <c r="I13" i="15" l="1"/>
  <c r="AC13" i="15" s="1"/>
  <c r="AD13" i="15" s="1"/>
  <c r="I12" i="15"/>
  <c r="I8" i="23"/>
  <c r="H8" i="23"/>
  <c r="L8" i="23"/>
  <c r="D9" i="23"/>
  <c r="K8" i="23"/>
  <c r="N52" i="93" s="1"/>
  <c r="M9" i="23"/>
  <c r="J8" i="23"/>
  <c r="E8" i="23"/>
  <c r="F8" i="23"/>
  <c r="C13" i="15"/>
  <c r="W13" i="15" s="1"/>
  <c r="X13" i="15" s="1"/>
  <c r="B14" i="15"/>
  <c r="U13" i="15"/>
  <c r="AO13" i="15" s="1"/>
  <c r="AP13" i="15" s="1"/>
  <c r="T14" i="15"/>
  <c r="S12" i="15"/>
  <c r="AM12" i="15" s="1"/>
  <c r="AN12" i="15" s="1"/>
  <c r="R13" i="15"/>
  <c r="M12" i="15"/>
  <c r="AG12" i="15" s="1"/>
  <c r="AH12" i="15" s="1"/>
  <c r="L13" i="15"/>
  <c r="K12" i="15"/>
  <c r="AE12" i="15" s="1"/>
  <c r="AF12" i="15" s="1"/>
  <c r="J13" i="15"/>
  <c r="I14" i="15"/>
  <c r="AC14" i="15" s="1"/>
  <c r="AD14" i="15" s="1"/>
  <c r="H15" i="15"/>
  <c r="F13" i="15"/>
  <c r="G12" i="15"/>
  <c r="AA12" i="15" s="1"/>
  <c r="AB12" i="15" s="1"/>
  <c r="D13" i="15"/>
  <c r="E12" i="15"/>
  <c r="Y12" i="15" s="1"/>
  <c r="Z12" i="15" s="1"/>
  <c r="P13" i="15"/>
  <c r="Q12" i="15"/>
  <c r="AK12" i="15" s="1"/>
  <c r="AL12" i="15" s="1"/>
  <c r="O12" i="15"/>
  <c r="AI12" i="15" s="1"/>
  <c r="AJ12" i="15" s="1"/>
  <c r="N13" i="15"/>
  <c r="G10" i="23" l="1"/>
  <c r="G9" i="23"/>
  <c r="AC12" i="15"/>
  <c r="AD12" i="15" s="1"/>
  <c r="K9" i="23"/>
  <c r="I9" i="23"/>
  <c r="G11" i="23"/>
  <c r="M10" i="23"/>
  <c r="E9" i="23"/>
  <c r="L9" i="23"/>
  <c r="D10" i="23"/>
  <c r="F9" i="23"/>
  <c r="H9" i="23"/>
  <c r="J9" i="23"/>
  <c r="C14" i="15"/>
  <c r="W14" i="15" s="1"/>
  <c r="X14" i="15" s="1"/>
  <c r="B15" i="15"/>
  <c r="U14" i="15"/>
  <c r="AO14" i="15" s="1"/>
  <c r="AP14" i="15" s="1"/>
  <c r="T15" i="15"/>
  <c r="R14" i="15"/>
  <c r="S13" i="15"/>
  <c r="AM13" i="15" s="1"/>
  <c r="AN13" i="15" s="1"/>
  <c r="M13" i="15"/>
  <c r="AG13" i="15" s="1"/>
  <c r="AH13" i="15" s="1"/>
  <c r="L14" i="15"/>
  <c r="J14" i="15"/>
  <c r="K13" i="15"/>
  <c r="AE13" i="15" s="1"/>
  <c r="AF13" i="15" s="1"/>
  <c r="I15" i="15"/>
  <c r="AC15" i="15" s="1"/>
  <c r="AD15" i="15" s="1"/>
  <c r="H16" i="15"/>
  <c r="L76" i="17" s="1"/>
  <c r="F14" i="15"/>
  <c r="G13" i="15"/>
  <c r="AA13" i="15" s="1"/>
  <c r="AB13" i="15" s="1"/>
  <c r="D14" i="15"/>
  <c r="E13" i="15"/>
  <c r="Y13" i="15" s="1"/>
  <c r="Z13" i="15" s="1"/>
  <c r="P14" i="15"/>
  <c r="Q13" i="15"/>
  <c r="AK13" i="15" s="1"/>
  <c r="AL13" i="15" s="1"/>
  <c r="O13" i="15"/>
  <c r="AI13" i="15" s="1"/>
  <c r="AJ13" i="15" s="1"/>
  <c r="N14" i="15"/>
  <c r="R76" i="17" l="1"/>
  <c r="M76" i="17"/>
  <c r="K10" i="23"/>
  <c r="J10" i="23"/>
  <c r="E10" i="23"/>
  <c r="H10" i="23"/>
  <c r="I10" i="23"/>
  <c r="M11" i="23"/>
  <c r="G12" i="23"/>
  <c r="F10" i="23"/>
  <c r="L10" i="23"/>
  <c r="D11" i="23"/>
  <c r="L64" i="17"/>
  <c r="M64" i="17" s="1"/>
  <c r="L14" i="17"/>
  <c r="M14" i="17" s="1"/>
  <c r="L48" i="17"/>
  <c r="L86" i="17"/>
  <c r="L46" i="17"/>
  <c r="L78" i="17"/>
  <c r="M78" i="17" s="1"/>
  <c r="L72" i="17"/>
  <c r="M72" i="17" s="1"/>
  <c r="L84" i="17"/>
  <c r="M84" i="17" s="1"/>
  <c r="L60" i="17"/>
  <c r="M60" i="17" s="1"/>
  <c r="L74" i="17"/>
  <c r="M74" i="17" s="1"/>
  <c r="L58" i="17"/>
  <c r="M58" i="17" s="1"/>
  <c r="L56" i="17"/>
  <c r="M56" i="17" s="1"/>
  <c r="L66" i="17"/>
  <c r="M66" i="17" s="1"/>
  <c r="C15" i="15"/>
  <c r="W15" i="15" s="1"/>
  <c r="X15" i="15" s="1"/>
  <c r="B16" i="15"/>
  <c r="U15" i="15"/>
  <c r="AO15" i="15" s="1"/>
  <c r="AP15" i="15" s="1"/>
  <c r="T16" i="15"/>
  <c r="R15" i="15"/>
  <c r="S14" i="15"/>
  <c r="AM14" i="15" s="1"/>
  <c r="AN14" i="15" s="1"/>
  <c r="M14" i="15"/>
  <c r="AG14" i="15" s="1"/>
  <c r="AH14" i="15" s="1"/>
  <c r="L15" i="15"/>
  <c r="J15" i="15"/>
  <c r="K14" i="15"/>
  <c r="AE14" i="15" s="1"/>
  <c r="AF14" i="15" s="1"/>
  <c r="I16" i="15"/>
  <c r="AC16" i="15" s="1"/>
  <c r="AD16" i="15" s="1"/>
  <c r="H17" i="15"/>
  <c r="G14" i="15"/>
  <c r="AA14" i="15" s="1"/>
  <c r="AB14" i="15" s="1"/>
  <c r="F15" i="15"/>
  <c r="D15" i="15"/>
  <c r="E14" i="15"/>
  <c r="Y14" i="15" s="1"/>
  <c r="Z14" i="15" s="1"/>
  <c r="P15" i="15"/>
  <c r="Q14" i="15"/>
  <c r="AK14" i="15" s="1"/>
  <c r="AL14" i="15" s="1"/>
  <c r="N15" i="15"/>
  <c r="O14" i="15"/>
  <c r="AI14" i="15" s="1"/>
  <c r="AJ14" i="15" s="1"/>
  <c r="R64" i="17" l="1"/>
  <c r="R14" i="17"/>
  <c r="K11" i="23"/>
  <c r="J11" i="23"/>
  <c r="I11" i="23"/>
  <c r="M12" i="23"/>
  <c r="E11" i="23"/>
  <c r="R56" i="17"/>
  <c r="L11" i="23"/>
  <c r="D12" i="23"/>
  <c r="F11" i="23"/>
  <c r="G13" i="23"/>
  <c r="H11" i="23"/>
  <c r="R84" i="17"/>
  <c r="L43" i="17"/>
  <c r="M43" i="17" s="1"/>
  <c r="L29" i="17"/>
  <c r="M29" i="17" s="1"/>
  <c r="L55" i="17"/>
  <c r="M55" i="17" s="1"/>
  <c r="L31" i="17"/>
  <c r="M31" i="17" s="1"/>
  <c r="L89" i="17"/>
  <c r="M89" i="17" s="1"/>
  <c r="L27" i="17"/>
  <c r="M27" i="17" s="1"/>
  <c r="L45" i="17"/>
  <c r="M45" i="17" s="1"/>
  <c r="L8" i="17"/>
  <c r="M8" i="17" s="1"/>
  <c r="L6" i="17"/>
  <c r="R72" i="17"/>
  <c r="R46" i="17"/>
  <c r="M46" i="17"/>
  <c r="R66" i="17"/>
  <c r="R60" i="17"/>
  <c r="R74" i="17"/>
  <c r="M86" i="17"/>
  <c r="R86" i="17"/>
  <c r="R48" i="17"/>
  <c r="M48" i="17"/>
  <c r="R78" i="17"/>
  <c r="R58" i="17"/>
  <c r="C16" i="15"/>
  <c r="W16" i="15" s="1"/>
  <c r="X16" i="15" s="1"/>
  <c r="B17" i="15"/>
  <c r="U16" i="15"/>
  <c r="AO16" i="15" s="1"/>
  <c r="AP16" i="15" s="1"/>
  <c r="T17" i="15"/>
  <c r="R16" i="15"/>
  <c r="L69" i="17" s="1"/>
  <c r="M69" i="17" s="1"/>
  <c r="S15" i="15"/>
  <c r="AM15" i="15" s="1"/>
  <c r="AN15" i="15" s="1"/>
  <c r="L16" i="15"/>
  <c r="M15" i="15"/>
  <c r="AG15" i="15" s="1"/>
  <c r="AH15" i="15" s="1"/>
  <c r="J16" i="15"/>
  <c r="K15" i="15"/>
  <c r="AE15" i="15" s="1"/>
  <c r="AF15" i="15" s="1"/>
  <c r="H18" i="15"/>
  <c r="I17" i="15"/>
  <c r="AC17" i="15" s="1"/>
  <c r="AD17" i="15" s="1"/>
  <c r="G15" i="15"/>
  <c r="AA15" i="15" s="1"/>
  <c r="AB15" i="15" s="1"/>
  <c r="F16" i="15"/>
  <c r="D16" i="15"/>
  <c r="E15" i="15"/>
  <c r="Y15" i="15" s="1"/>
  <c r="Z15" i="15" s="1"/>
  <c r="Q15" i="15"/>
  <c r="AK15" i="15" s="1"/>
  <c r="AL15" i="15" s="1"/>
  <c r="P16" i="15"/>
  <c r="L77" i="17" s="1"/>
  <c r="N16" i="15"/>
  <c r="O15" i="15"/>
  <c r="AI15" i="15" s="1"/>
  <c r="AJ15" i="15" s="1"/>
  <c r="L71" i="17" l="1"/>
  <c r="M71" i="17" s="1"/>
  <c r="R77" i="17"/>
  <c r="S76" i="17" s="1"/>
  <c r="M77" i="17"/>
  <c r="R43" i="17"/>
  <c r="R55" i="17"/>
  <c r="R45" i="17"/>
  <c r="R31" i="17"/>
  <c r="J12" i="23"/>
  <c r="R89" i="17"/>
  <c r="L12" i="23"/>
  <c r="I12" i="23"/>
  <c r="K12" i="23"/>
  <c r="E12" i="23"/>
  <c r="G14" i="23"/>
  <c r="M13" i="23"/>
  <c r="F12" i="23"/>
  <c r="H12" i="23"/>
  <c r="R69" i="17"/>
  <c r="R6" i="17"/>
  <c r="M6" i="17"/>
  <c r="L63" i="17"/>
  <c r="M63" i="17" s="1"/>
  <c r="L37" i="17"/>
  <c r="M37" i="17" s="1"/>
  <c r="L21" i="17"/>
  <c r="M21" i="17" s="1"/>
  <c r="R27" i="17"/>
  <c r="L88" i="17"/>
  <c r="M88" i="17" s="1"/>
  <c r="L44" i="17"/>
  <c r="M44" i="17" s="1"/>
  <c r="L87" i="17"/>
  <c r="L54" i="17"/>
  <c r="M54" i="17" s="1"/>
  <c r="L47" i="17"/>
  <c r="L26" i="17"/>
  <c r="M26" i="17" s="1"/>
  <c r="L42" i="17"/>
  <c r="M42" i="17" s="1"/>
  <c r="L49" i="17"/>
  <c r="L85" i="17"/>
  <c r="M85" i="17" s="1"/>
  <c r="L61" i="17"/>
  <c r="M61" i="17" s="1"/>
  <c r="L28" i="17"/>
  <c r="M28" i="17" s="1"/>
  <c r="L57" i="17"/>
  <c r="M57" i="17" s="1"/>
  <c r="L30" i="17"/>
  <c r="M30" i="17" s="1"/>
  <c r="L68" i="17"/>
  <c r="M68" i="17" s="1"/>
  <c r="L59" i="17"/>
  <c r="M59" i="17" s="1"/>
  <c r="L79" i="17"/>
  <c r="M79" i="17" s="1"/>
  <c r="L15" i="17"/>
  <c r="M15" i="17" s="1"/>
  <c r="L73" i="17"/>
  <c r="M73" i="17" s="1"/>
  <c r="L67" i="17"/>
  <c r="M67" i="17" s="1"/>
  <c r="L65" i="17"/>
  <c r="M65" i="17" s="1"/>
  <c r="L75" i="17"/>
  <c r="M75" i="17" s="1"/>
  <c r="L70" i="17"/>
  <c r="M70" i="17" s="1"/>
  <c r="L62" i="17"/>
  <c r="M62" i="17" s="1"/>
  <c r="L36" i="17"/>
  <c r="M36" i="17" s="1"/>
  <c r="L20" i="17"/>
  <c r="M20" i="17" s="1"/>
  <c r="R8" i="17"/>
  <c r="L23" i="17"/>
  <c r="M23" i="17" s="1"/>
  <c r="L13" i="17"/>
  <c r="M13" i="17" s="1"/>
  <c r="L33" i="17"/>
  <c r="M33" i="17" s="1"/>
  <c r="L41" i="17"/>
  <c r="M41" i="17" s="1"/>
  <c r="L17" i="17"/>
  <c r="M17" i="17" s="1"/>
  <c r="L35" i="17"/>
  <c r="M35" i="17" s="1"/>
  <c r="L53" i="17"/>
  <c r="M53" i="17" s="1"/>
  <c r="L83" i="17"/>
  <c r="L39" i="17"/>
  <c r="L19" i="17"/>
  <c r="M19" i="17" s="1"/>
  <c r="L51" i="17"/>
  <c r="L25" i="17"/>
  <c r="L9" i="17"/>
  <c r="M9" i="17" s="1"/>
  <c r="L7" i="17"/>
  <c r="M7" i="17" s="1"/>
  <c r="L24" i="17"/>
  <c r="L52" i="17"/>
  <c r="M52" i="17" s="1"/>
  <c r="L22" i="17"/>
  <c r="M22" i="17" s="1"/>
  <c r="L38" i="17"/>
  <c r="L32" i="17"/>
  <c r="M32" i="17" s="1"/>
  <c r="L50" i="17"/>
  <c r="L18" i="17"/>
  <c r="M18" i="17" s="1"/>
  <c r="L34" i="17"/>
  <c r="M34" i="17" s="1"/>
  <c r="L40" i="17"/>
  <c r="M40" i="17" s="1"/>
  <c r="L16" i="17"/>
  <c r="M16" i="17" s="1"/>
  <c r="L12" i="17"/>
  <c r="M12" i="17" s="1"/>
  <c r="L82" i="17"/>
  <c r="R29" i="17"/>
  <c r="D13" i="23"/>
  <c r="C17" i="15"/>
  <c r="W17" i="15" s="1"/>
  <c r="X17" i="15" s="1"/>
  <c r="B18" i="15"/>
  <c r="T18" i="15"/>
  <c r="U17" i="15"/>
  <c r="AO17" i="15" s="1"/>
  <c r="AP17" i="15" s="1"/>
  <c r="S16" i="15"/>
  <c r="AM16" i="15" s="1"/>
  <c r="AN16" i="15" s="1"/>
  <c r="R17" i="15"/>
  <c r="M16" i="15"/>
  <c r="AG16" i="15" s="1"/>
  <c r="AH16" i="15" s="1"/>
  <c r="L17" i="15"/>
  <c r="K16" i="15"/>
  <c r="AE16" i="15" s="1"/>
  <c r="AF16" i="15" s="1"/>
  <c r="J17" i="15"/>
  <c r="I18" i="15"/>
  <c r="AC18" i="15" s="1"/>
  <c r="AD18" i="15" s="1"/>
  <c r="H19" i="15"/>
  <c r="G16" i="15"/>
  <c r="AA16" i="15" s="1"/>
  <c r="AB16" i="15" s="1"/>
  <c r="F17" i="15"/>
  <c r="D17" i="15"/>
  <c r="E16" i="15"/>
  <c r="Y16" i="15" s="1"/>
  <c r="Z16" i="15" s="1"/>
  <c r="P17" i="15"/>
  <c r="Q16" i="15"/>
  <c r="AK16" i="15" s="1"/>
  <c r="AL16" i="15" s="1"/>
  <c r="N17" i="15"/>
  <c r="O16" i="15"/>
  <c r="AI16" i="15" s="1"/>
  <c r="AJ16" i="15" s="1"/>
  <c r="R71" i="17" l="1"/>
  <c r="T76" i="17"/>
  <c r="U76" i="17" s="1"/>
  <c r="B76" i="17"/>
  <c r="C107" i="93" s="1"/>
  <c r="R19" i="17"/>
  <c r="R63" i="17"/>
  <c r="R52" i="17"/>
  <c r="R37" i="17"/>
  <c r="R59" i="17"/>
  <c r="S58" i="17" s="1"/>
  <c r="T58" i="17" s="1"/>
  <c r="U58" i="17" s="1"/>
  <c r="R21" i="17"/>
  <c r="R79" i="17"/>
  <c r="S78" i="17" s="1"/>
  <c r="B78" i="17" s="1"/>
  <c r="R15" i="17"/>
  <c r="S14" i="17" s="1"/>
  <c r="T14" i="17" s="1"/>
  <c r="U14" i="17" s="1"/>
  <c r="R22" i="17"/>
  <c r="R70" i="17"/>
  <c r="R44" i="17"/>
  <c r="S44" i="17" s="1"/>
  <c r="T44" i="17" s="1"/>
  <c r="U44" i="17" s="1"/>
  <c r="R67" i="17"/>
  <c r="S66" i="17" s="1"/>
  <c r="T66" i="17" s="1"/>
  <c r="U66" i="17" s="1"/>
  <c r="R26" i="17"/>
  <c r="S26" i="17" s="1"/>
  <c r="T26" i="17" s="1"/>
  <c r="U26" i="17" s="1"/>
  <c r="R75" i="17"/>
  <c r="S74" i="17" s="1"/>
  <c r="T74" i="17" s="1"/>
  <c r="U74" i="17" s="1"/>
  <c r="R88" i="17"/>
  <c r="S88" i="17" s="1"/>
  <c r="T88" i="17" s="1"/>
  <c r="U88" i="17" s="1"/>
  <c r="R73" i="17"/>
  <c r="S72" i="17" s="1"/>
  <c r="T72" i="17" s="1"/>
  <c r="U72" i="17" s="1"/>
  <c r="R65" i="17"/>
  <c r="S64" i="17" s="1"/>
  <c r="T64" i="17" s="1"/>
  <c r="U64" i="17" s="1"/>
  <c r="G15" i="23"/>
  <c r="N49" i="93" s="1"/>
  <c r="N56" i="93" s="1"/>
  <c r="N116" i="93" s="1"/>
  <c r="I13" i="23"/>
  <c r="R68" i="17"/>
  <c r="S68" i="17" s="1"/>
  <c r="T68" i="17" s="1"/>
  <c r="U68" i="17" s="1"/>
  <c r="H13" i="23"/>
  <c r="K13" i="23"/>
  <c r="R35" i="17"/>
  <c r="R53" i="17"/>
  <c r="L13" i="23"/>
  <c r="R57" i="17"/>
  <c r="S56" i="17" s="1"/>
  <c r="T56" i="17" s="1"/>
  <c r="U56" i="17" s="1"/>
  <c r="M14" i="23"/>
  <c r="R30" i="17"/>
  <c r="S30" i="17" s="1"/>
  <c r="T30" i="17" s="1"/>
  <c r="U30" i="17" s="1"/>
  <c r="R32" i="17"/>
  <c r="F13" i="23"/>
  <c r="J13" i="23"/>
  <c r="E13" i="23"/>
  <c r="D14" i="23"/>
  <c r="R18" i="17"/>
  <c r="R33" i="17"/>
  <c r="R49" i="17"/>
  <c r="S48" i="17" s="1"/>
  <c r="M49" i="17"/>
  <c r="R47" i="17"/>
  <c r="S46" i="17" s="1"/>
  <c r="M47" i="17"/>
  <c r="R40" i="17"/>
  <c r="R16" i="17"/>
  <c r="R12" i="17"/>
  <c r="R34" i="17"/>
  <c r="R42" i="17"/>
  <c r="S42" i="17" s="1"/>
  <c r="T42" i="17" s="1"/>
  <c r="U42" i="17" s="1"/>
  <c r="R13" i="17"/>
  <c r="M24" i="17"/>
  <c r="R24" i="17"/>
  <c r="R61" i="17"/>
  <c r="S60" i="17" s="1"/>
  <c r="T60" i="17" s="1"/>
  <c r="U60" i="17" s="1"/>
  <c r="R62" i="17"/>
  <c r="S62" i="17" s="1"/>
  <c r="R41" i="17"/>
  <c r="R36" i="17"/>
  <c r="R23" i="17"/>
  <c r="R38" i="17"/>
  <c r="M38" i="17"/>
  <c r="R17" i="17"/>
  <c r="R25" i="17"/>
  <c r="M25" i="17"/>
  <c r="R20" i="17"/>
  <c r="M51" i="17"/>
  <c r="R51" i="17"/>
  <c r="M87" i="17"/>
  <c r="R87" i="17"/>
  <c r="S86" i="17" s="1"/>
  <c r="M39" i="17"/>
  <c r="R39" i="17"/>
  <c r="R50" i="17"/>
  <c r="M50" i="17"/>
  <c r="R54" i="17"/>
  <c r="S54" i="17" s="1"/>
  <c r="T54" i="17" s="1"/>
  <c r="U54" i="17" s="1"/>
  <c r="R83" i="17"/>
  <c r="M83" i="17"/>
  <c r="R85" i="17"/>
  <c r="S84" i="17" s="1"/>
  <c r="T84" i="17" s="1"/>
  <c r="U84" i="17" s="1"/>
  <c r="R7" i="17"/>
  <c r="S6" i="17" s="1"/>
  <c r="B6" i="17" s="1"/>
  <c r="C49" i="101" s="1"/>
  <c r="R28" i="17"/>
  <c r="S28" i="17" s="1"/>
  <c r="R9" i="17"/>
  <c r="S8" i="17" s="1"/>
  <c r="B8" i="17" s="1"/>
  <c r="C51" i="101" s="1"/>
  <c r="M82" i="17"/>
  <c r="R82" i="17"/>
  <c r="C18" i="15"/>
  <c r="W18" i="15" s="1"/>
  <c r="X18" i="15" s="1"/>
  <c r="B19" i="15"/>
  <c r="U18" i="15"/>
  <c r="AO18" i="15" s="1"/>
  <c r="AP18" i="15" s="1"/>
  <c r="T19" i="15"/>
  <c r="R18" i="15"/>
  <c r="S17" i="15"/>
  <c r="AM17" i="15" s="1"/>
  <c r="AN17" i="15" s="1"/>
  <c r="L18" i="15"/>
  <c r="M17" i="15"/>
  <c r="AG17" i="15" s="1"/>
  <c r="AH17" i="15" s="1"/>
  <c r="J18" i="15"/>
  <c r="K17" i="15"/>
  <c r="AE17" i="15" s="1"/>
  <c r="AF17" i="15" s="1"/>
  <c r="H20" i="15"/>
  <c r="I19" i="15"/>
  <c r="AC19" i="15" s="1"/>
  <c r="AD19" i="15" s="1"/>
  <c r="F18" i="15"/>
  <c r="G17" i="15"/>
  <c r="AA17" i="15" s="1"/>
  <c r="AB17" i="15" s="1"/>
  <c r="D18" i="15"/>
  <c r="E17" i="15"/>
  <c r="Y17" i="15" s="1"/>
  <c r="Z17" i="15" s="1"/>
  <c r="P18" i="15"/>
  <c r="Q17" i="15"/>
  <c r="AK17" i="15" s="1"/>
  <c r="AL17" i="15" s="1"/>
  <c r="N18" i="15"/>
  <c r="O17" i="15"/>
  <c r="AI17" i="15" s="1"/>
  <c r="AJ17" i="15" s="1"/>
  <c r="S70" i="17" l="1"/>
  <c r="T70" i="17" s="1"/>
  <c r="U70" i="17" s="1"/>
  <c r="S36" i="17"/>
  <c r="T36" i="17" s="1"/>
  <c r="U36" i="17" s="1"/>
  <c r="S18" i="17"/>
  <c r="T18" i="17" s="1"/>
  <c r="U18" i="17" s="1"/>
  <c r="S52" i="17"/>
  <c r="S20" i="17"/>
  <c r="T20" i="17" s="1"/>
  <c r="U20" i="17" s="1"/>
  <c r="T78" i="17"/>
  <c r="U78" i="17" s="1"/>
  <c r="B14" i="17"/>
  <c r="B30" i="23" s="1"/>
  <c r="S22" i="17"/>
  <c r="B22" i="17" s="1"/>
  <c r="C57" i="105" s="1"/>
  <c r="B58" i="17"/>
  <c r="B47" i="23" s="1"/>
  <c r="B44" i="17"/>
  <c r="B43" i="23" s="1"/>
  <c r="B66" i="17"/>
  <c r="C73" i="92" s="1"/>
  <c r="B26" i="17"/>
  <c r="C49" i="91" s="1"/>
  <c r="B88" i="17"/>
  <c r="C79" i="105" s="1"/>
  <c r="B64" i="17"/>
  <c r="B50" i="23" s="1"/>
  <c r="B74" i="17"/>
  <c r="B55" i="23" s="1"/>
  <c r="B68" i="17"/>
  <c r="B52" i="23" s="1"/>
  <c r="B72" i="17"/>
  <c r="C95" i="93" s="1"/>
  <c r="S16" i="17"/>
  <c r="T16" i="17" s="1"/>
  <c r="U16" i="17" s="1"/>
  <c r="S24" i="17"/>
  <c r="T24" i="17" s="1"/>
  <c r="U24" i="17" s="1"/>
  <c r="S12" i="17"/>
  <c r="B12" i="17" s="1"/>
  <c r="C49" i="105" s="1"/>
  <c r="S34" i="17"/>
  <c r="B34" i="17" s="1"/>
  <c r="B39" i="23" s="1"/>
  <c r="L14" i="23"/>
  <c r="B30" i="17"/>
  <c r="C61" i="105" s="1"/>
  <c r="D15" i="23"/>
  <c r="I14" i="23"/>
  <c r="S32" i="17"/>
  <c r="T32" i="17" s="1"/>
  <c r="U32" i="17" s="1"/>
  <c r="J14" i="23"/>
  <c r="M15" i="23"/>
  <c r="B56" i="17"/>
  <c r="B46" i="23" s="1"/>
  <c r="S40" i="17"/>
  <c r="B40" i="17" s="1"/>
  <c r="C57" i="91" s="1"/>
  <c r="F14" i="23"/>
  <c r="G16" i="23"/>
  <c r="K14" i="23"/>
  <c r="E14" i="23"/>
  <c r="B42" i="17"/>
  <c r="B42" i="23" s="1"/>
  <c r="H14" i="23"/>
  <c r="S50" i="17"/>
  <c r="T50" i="17" s="1"/>
  <c r="U50" i="17" s="1"/>
  <c r="S38" i="17"/>
  <c r="B38" i="17" s="1"/>
  <c r="C61" i="103" s="1"/>
  <c r="B86" i="17"/>
  <c r="C86" i="92" s="1"/>
  <c r="T86" i="17"/>
  <c r="U86" i="17" s="1"/>
  <c r="T6" i="17"/>
  <c r="U6" i="17" s="1"/>
  <c r="T8" i="17"/>
  <c r="U8" i="17" s="1"/>
  <c r="B46" i="17"/>
  <c r="C61" i="93" s="1"/>
  <c r="T46" i="17"/>
  <c r="U46" i="17" s="1"/>
  <c r="B54" i="17"/>
  <c r="C49" i="104" s="1"/>
  <c r="B48" i="17"/>
  <c r="C68" i="93" s="1"/>
  <c r="T48" i="17"/>
  <c r="U48" i="17" s="1"/>
  <c r="B84" i="17"/>
  <c r="C77" i="92" s="1"/>
  <c r="B60" i="17"/>
  <c r="B48" i="23" s="1"/>
  <c r="S82" i="17"/>
  <c r="B28" i="23"/>
  <c r="B27" i="23"/>
  <c r="B62" i="17"/>
  <c r="C76" i="105" s="1"/>
  <c r="T62" i="17"/>
  <c r="U62" i="17" s="1"/>
  <c r="B52" i="17"/>
  <c r="C72" i="105" s="1"/>
  <c r="T52" i="17"/>
  <c r="U52" i="17" s="1"/>
  <c r="B28" i="17"/>
  <c r="C53" i="91" s="1"/>
  <c r="T28" i="17"/>
  <c r="U28" i="17" s="1"/>
  <c r="B20" i="15"/>
  <c r="C19" i="15"/>
  <c r="W19" i="15" s="1"/>
  <c r="X19" i="15" s="1"/>
  <c r="T20" i="15"/>
  <c r="U19" i="15"/>
  <c r="AO19" i="15" s="1"/>
  <c r="AP19" i="15" s="1"/>
  <c r="S18" i="15"/>
  <c r="AM18" i="15" s="1"/>
  <c r="AN18" i="15" s="1"/>
  <c r="R19" i="15"/>
  <c r="B20" i="17"/>
  <c r="C49" i="94" s="1"/>
  <c r="L19" i="15"/>
  <c r="M18" i="15"/>
  <c r="AG18" i="15" s="1"/>
  <c r="AH18" i="15" s="1"/>
  <c r="K18" i="15"/>
  <c r="AE18" i="15" s="1"/>
  <c r="AF18" i="15" s="1"/>
  <c r="J19" i="15"/>
  <c r="H21" i="15"/>
  <c r="I20" i="15"/>
  <c r="AC20" i="15" s="1"/>
  <c r="AD20" i="15" s="1"/>
  <c r="F19" i="15"/>
  <c r="G18" i="15"/>
  <c r="AA18" i="15" s="1"/>
  <c r="AB18" i="15" s="1"/>
  <c r="E18" i="15"/>
  <c r="Y18" i="15" s="1"/>
  <c r="Z18" i="15" s="1"/>
  <c r="D19" i="15"/>
  <c r="B57" i="23"/>
  <c r="C90" i="91"/>
  <c r="B56" i="23"/>
  <c r="Q18" i="15"/>
  <c r="AK18" i="15" s="1"/>
  <c r="AL18" i="15" s="1"/>
  <c r="P19" i="15"/>
  <c r="O18" i="15"/>
  <c r="AI18" i="15" s="1"/>
  <c r="AJ18" i="15" s="1"/>
  <c r="N19" i="15"/>
  <c r="B70" i="17" l="1"/>
  <c r="B53" i="23" s="1"/>
  <c r="B18" i="17"/>
  <c r="B32" i="23" s="1"/>
  <c r="B36" i="17"/>
  <c r="B40" i="23" s="1"/>
  <c r="B51" i="23"/>
  <c r="C49" i="93"/>
  <c r="B35" i="23"/>
  <c r="C78" i="91"/>
  <c r="C57" i="93"/>
  <c r="C69" i="92"/>
  <c r="B59" i="23"/>
  <c r="T22" i="17"/>
  <c r="U22" i="17" s="1"/>
  <c r="C91" i="93"/>
  <c r="C101" i="93"/>
  <c r="B24" i="17"/>
  <c r="C57" i="103" s="1"/>
  <c r="B54" i="23"/>
  <c r="B16" i="17"/>
  <c r="C49" i="92" s="1"/>
  <c r="B50" i="17"/>
  <c r="C49" i="103" s="1"/>
  <c r="C74" i="91"/>
  <c r="B37" i="23"/>
  <c r="T12" i="17"/>
  <c r="U12" i="17" s="1"/>
  <c r="T34" i="17"/>
  <c r="U34" i="17" s="1"/>
  <c r="B34" i="23"/>
  <c r="T38" i="17"/>
  <c r="U38" i="17" s="1"/>
  <c r="B32" i="17"/>
  <c r="B38" i="23" s="1"/>
  <c r="T40" i="17"/>
  <c r="U40" i="17" s="1"/>
  <c r="L15" i="23"/>
  <c r="J15" i="23"/>
  <c r="M16" i="23"/>
  <c r="D16" i="23"/>
  <c r="E15" i="23"/>
  <c r="K15" i="23"/>
  <c r="I15" i="23"/>
  <c r="H15" i="23"/>
  <c r="F15" i="23"/>
  <c r="G17" i="23"/>
  <c r="C75" i="93"/>
  <c r="B82" i="17"/>
  <c r="C55" i="104" s="1"/>
  <c r="T82" i="17"/>
  <c r="U82" i="17" s="1"/>
  <c r="B36" i="23"/>
  <c r="B58" i="23"/>
  <c r="C83" i="93"/>
  <c r="B45" i="23"/>
  <c r="S90" i="17"/>
  <c r="S92" i="17" s="1"/>
  <c r="S95" i="17" s="1"/>
  <c r="B49" i="23"/>
  <c r="B29" i="23"/>
  <c r="C68" i="105"/>
  <c r="B44" i="23"/>
  <c r="B41" i="23"/>
  <c r="B33" i="23"/>
  <c r="B21" i="15"/>
  <c r="C20" i="15"/>
  <c r="W20" i="15" s="1"/>
  <c r="X20" i="15" s="1"/>
  <c r="T21" i="15"/>
  <c r="U20" i="15"/>
  <c r="AO20" i="15" s="1"/>
  <c r="AP20" i="15" s="1"/>
  <c r="S19" i="15"/>
  <c r="AM19" i="15" s="1"/>
  <c r="AN19" i="15" s="1"/>
  <c r="R20" i="15"/>
  <c r="L20" i="15"/>
  <c r="M19" i="15"/>
  <c r="AG19" i="15" s="1"/>
  <c r="AH19" i="15" s="1"/>
  <c r="K19" i="15"/>
  <c r="AE19" i="15" s="1"/>
  <c r="AF19" i="15" s="1"/>
  <c r="J20" i="15"/>
  <c r="H22" i="15"/>
  <c r="I21" i="15"/>
  <c r="AC21" i="15" s="1"/>
  <c r="AD21" i="15" s="1"/>
  <c r="F20" i="15"/>
  <c r="G19" i="15"/>
  <c r="AA19" i="15" s="1"/>
  <c r="AB19" i="15" s="1"/>
  <c r="D20" i="15"/>
  <c r="E19" i="15"/>
  <c r="Y19" i="15" s="1"/>
  <c r="Z19" i="15" s="1"/>
  <c r="Q19" i="15"/>
  <c r="AK19" i="15" s="1"/>
  <c r="AL19" i="15" s="1"/>
  <c r="P20" i="15"/>
  <c r="O19" i="15"/>
  <c r="AI19" i="15" s="1"/>
  <c r="AJ19" i="15" s="1"/>
  <c r="N20" i="15"/>
  <c r="C59" i="92" l="1"/>
  <c r="C86" i="91"/>
  <c r="C54" i="94"/>
  <c r="B31" i="23"/>
  <c r="C65" i="105"/>
  <c r="U90" i="17"/>
  <c r="U92" i="17" s="1"/>
  <c r="U95" i="17" s="1"/>
  <c r="T90" i="17"/>
  <c r="T92" i="17" s="1"/>
  <c r="T95" i="17" s="1"/>
  <c r="E16" i="23"/>
  <c r="F16" i="23"/>
  <c r="K16" i="23"/>
  <c r="G18" i="23"/>
  <c r="H16" i="23"/>
  <c r="J16" i="23"/>
  <c r="L16" i="23"/>
  <c r="M17" i="23"/>
  <c r="I16" i="23"/>
  <c r="D17" i="23"/>
  <c r="B22" i="15"/>
  <c r="C21" i="15"/>
  <c r="W21" i="15" s="1"/>
  <c r="X21" i="15" s="1"/>
  <c r="T22" i="15"/>
  <c r="U21" i="15"/>
  <c r="AO21" i="15" s="1"/>
  <c r="AP21" i="15" s="1"/>
  <c r="S20" i="15"/>
  <c r="AM20" i="15" s="1"/>
  <c r="AN20" i="15" s="1"/>
  <c r="R21" i="15"/>
  <c r="L21" i="15"/>
  <c r="M20" i="15"/>
  <c r="AG20" i="15" s="1"/>
  <c r="AH20" i="15" s="1"/>
  <c r="K20" i="15"/>
  <c r="AE20" i="15" s="1"/>
  <c r="AF20" i="15" s="1"/>
  <c r="J21" i="15"/>
  <c r="I22" i="15"/>
  <c r="AC22" i="15" s="1"/>
  <c r="AD22" i="15" s="1"/>
  <c r="H23" i="15"/>
  <c r="F21" i="15"/>
  <c r="G20" i="15"/>
  <c r="AA20" i="15" s="1"/>
  <c r="AB20" i="15" s="1"/>
  <c r="D21" i="15"/>
  <c r="E20" i="15"/>
  <c r="Y20" i="15" s="1"/>
  <c r="Z20" i="15" s="1"/>
  <c r="P21" i="15"/>
  <c r="Q20" i="15"/>
  <c r="AK20" i="15" s="1"/>
  <c r="AL20" i="15" s="1"/>
  <c r="O20" i="15"/>
  <c r="AI20" i="15" s="1"/>
  <c r="AJ20" i="15" s="1"/>
  <c r="N21" i="15"/>
  <c r="U97" i="17" l="1"/>
  <c r="F17" i="23"/>
  <c r="G19" i="23"/>
  <c r="I17" i="23"/>
  <c r="L17" i="23"/>
  <c r="E17" i="23"/>
  <c r="M18" i="23"/>
  <c r="H17" i="23"/>
  <c r="D18" i="23"/>
  <c r="J17" i="23"/>
  <c r="K17" i="23"/>
  <c r="C22" i="15"/>
  <c r="W22" i="15" s="1"/>
  <c r="X22" i="15" s="1"/>
  <c r="B23" i="15"/>
  <c r="U22" i="15"/>
  <c r="AO22" i="15" s="1"/>
  <c r="AP22" i="15" s="1"/>
  <c r="T23" i="15"/>
  <c r="R22" i="15"/>
  <c r="S21" i="15"/>
  <c r="AM21" i="15" s="1"/>
  <c r="AN21" i="15" s="1"/>
  <c r="L22" i="15"/>
  <c r="M21" i="15"/>
  <c r="AG21" i="15" s="1"/>
  <c r="AH21" i="15" s="1"/>
  <c r="J22" i="15"/>
  <c r="K21" i="15"/>
  <c r="AE21" i="15" s="1"/>
  <c r="AF21" i="15" s="1"/>
  <c r="I23" i="15"/>
  <c r="AC23" i="15" s="1"/>
  <c r="AD23" i="15" s="1"/>
  <c r="H24" i="15"/>
  <c r="F22" i="15"/>
  <c r="G21" i="15"/>
  <c r="AA21" i="15" s="1"/>
  <c r="AB21" i="15" s="1"/>
  <c r="D22" i="15"/>
  <c r="E21" i="15"/>
  <c r="Y21" i="15" s="1"/>
  <c r="Z21" i="15" s="1"/>
  <c r="P22" i="15"/>
  <c r="Q21" i="15"/>
  <c r="AK21" i="15" s="1"/>
  <c r="AL21" i="15" s="1"/>
  <c r="N22" i="15"/>
  <c r="O21" i="15"/>
  <c r="AI21" i="15" s="1"/>
  <c r="AJ21" i="15" s="1"/>
  <c r="E18" i="23" l="1"/>
  <c r="J18" i="23"/>
  <c r="I18" i="23"/>
  <c r="G20" i="23"/>
  <c r="H18" i="23"/>
  <c r="M19" i="23"/>
  <c r="K18" i="23"/>
  <c r="F18" i="23"/>
  <c r="L18" i="23"/>
  <c r="D19" i="23"/>
  <c r="C23" i="15"/>
  <c r="W23" i="15" s="1"/>
  <c r="X23" i="15" s="1"/>
  <c r="B24" i="15"/>
  <c r="U23" i="15"/>
  <c r="AO23" i="15" s="1"/>
  <c r="AP23" i="15" s="1"/>
  <c r="T24" i="15"/>
  <c r="S22" i="15"/>
  <c r="AM22" i="15" s="1"/>
  <c r="AN22" i="15" s="1"/>
  <c r="R23" i="15"/>
  <c r="M22" i="15"/>
  <c r="AG22" i="15" s="1"/>
  <c r="AH22" i="15" s="1"/>
  <c r="L23" i="15"/>
  <c r="J23" i="15"/>
  <c r="K22" i="15"/>
  <c r="AE22" i="15" s="1"/>
  <c r="AF22" i="15" s="1"/>
  <c r="I24" i="15"/>
  <c r="AC24" i="15" s="1"/>
  <c r="AD24" i="15" s="1"/>
  <c r="H25" i="15"/>
  <c r="N76" i="17" s="1"/>
  <c r="O76" i="17" s="1"/>
  <c r="AA76" i="17" s="1"/>
  <c r="G22" i="15"/>
  <c r="AA22" i="15" s="1"/>
  <c r="AB22" i="15" s="1"/>
  <c r="F23" i="15"/>
  <c r="E22" i="15"/>
  <c r="Y22" i="15" s="1"/>
  <c r="Z22" i="15" s="1"/>
  <c r="D23" i="15"/>
  <c r="P23" i="15"/>
  <c r="Q22" i="15"/>
  <c r="AK22" i="15" s="1"/>
  <c r="AL22" i="15" s="1"/>
  <c r="N23" i="15"/>
  <c r="O22" i="15"/>
  <c r="AI22" i="15" s="1"/>
  <c r="AJ22" i="15" s="1"/>
  <c r="E19" i="23" l="1"/>
  <c r="F19" i="23"/>
  <c r="L19" i="23"/>
  <c r="G21" i="23"/>
  <c r="I19" i="23"/>
  <c r="M20" i="23"/>
  <c r="K19" i="23"/>
  <c r="H19" i="23"/>
  <c r="J19" i="23"/>
  <c r="D20" i="23"/>
  <c r="I25" i="15"/>
  <c r="AC25" i="15" s="1"/>
  <c r="AD25" i="15" s="1"/>
  <c r="N48" i="17"/>
  <c r="O48" i="17" s="1"/>
  <c r="AA48" i="17" s="1"/>
  <c r="N64" i="17"/>
  <c r="O64" i="17" s="1"/>
  <c r="AA64" i="17" s="1"/>
  <c r="N78" i="17"/>
  <c r="O78" i="17" s="1"/>
  <c r="AA78" i="17" s="1"/>
  <c r="N58" i="17"/>
  <c r="O58" i="17" s="1"/>
  <c r="AA58" i="17" s="1"/>
  <c r="N86" i="17"/>
  <c r="O86" i="17" s="1"/>
  <c r="AA86" i="17" s="1"/>
  <c r="N56" i="17"/>
  <c r="O56" i="17" s="1"/>
  <c r="AA56" i="17" s="1"/>
  <c r="N84" i="17"/>
  <c r="O84" i="17" s="1"/>
  <c r="AA84" i="17" s="1"/>
  <c r="N60" i="17"/>
  <c r="O60" i="17" s="1"/>
  <c r="AA60" i="17" s="1"/>
  <c r="N14" i="17"/>
  <c r="O14" i="17" s="1"/>
  <c r="AA14" i="17" s="1"/>
  <c r="N74" i="17"/>
  <c r="O74" i="17" s="1"/>
  <c r="AA74" i="17" s="1"/>
  <c r="N46" i="17"/>
  <c r="O46" i="17" s="1"/>
  <c r="AA46" i="17" s="1"/>
  <c r="N72" i="17"/>
  <c r="O72" i="17" s="1"/>
  <c r="AA72" i="17" s="1"/>
  <c r="N66" i="17"/>
  <c r="O66" i="17" s="1"/>
  <c r="AA66" i="17" s="1"/>
  <c r="B25" i="15"/>
  <c r="C24" i="15"/>
  <c r="W24" i="15" s="1"/>
  <c r="X24" i="15" s="1"/>
  <c r="U24" i="15"/>
  <c r="AO24" i="15" s="1"/>
  <c r="AP24" i="15" s="1"/>
  <c r="T25" i="15"/>
  <c r="R24" i="15"/>
  <c r="S23" i="15"/>
  <c r="AM23" i="15" s="1"/>
  <c r="AN23" i="15" s="1"/>
  <c r="M23" i="15"/>
  <c r="AG23" i="15" s="1"/>
  <c r="AH23" i="15" s="1"/>
  <c r="L24" i="15"/>
  <c r="J24" i="15"/>
  <c r="K23" i="15"/>
  <c r="AE23" i="15" s="1"/>
  <c r="AF23" i="15" s="1"/>
  <c r="G23" i="15"/>
  <c r="AA23" i="15" s="1"/>
  <c r="AB23" i="15" s="1"/>
  <c r="F24" i="15"/>
  <c r="E23" i="15"/>
  <c r="Y23" i="15" s="1"/>
  <c r="Z23" i="15" s="1"/>
  <c r="D24" i="15"/>
  <c r="P24" i="15"/>
  <c r="Q23" i="15"/>
  <c r="AK23" i="15" s="1"/>
  <c r="AL23" i="15" s="1"/>
  <c r="N24" i="15"/>
  <c r="O23" i="15"/>
  <c r="AI23" i="15" s="1"/>
  <c r="AJ23" i="15" s="1"/>
  <c r="K20" i="23" l="1"/>
  <c r="J20" i="23"/>
  <c r="L20" i="23"/>
  <c r="D21" i="23"/>
  <c r="M21" i="23"/>
  <c r="E20" i="23"/>
  <c r="F20" i="23"/>
  <c r="H20" i="23"/>
  <c r="I20" i="23"/>
  <c r="G22" i="23"/>
  <c r="U25" i="15"/>
  <c r="AO25" i="15" s="1"/>
  <c r="AP25" i="15" s="1"/>
  <c r="N89" i="17"/>
  <c r="O89" i="17" s="1"/>
  <c r="AA89" i="17" s="1"/>
  <c r="N45" i="17"/>
  <c r="O45" i="17" s="1"/>
  <c r="AA45" i="17" s="1"/>
  <c r="N69" i="17"/>
  <c r="O69" i="17" s="1"/>
  <c r="AA69" i="17" s="1"/>
  <c r="N43" i="17"/>
  <c r="O43" i="17" s="1"/>
  <c r="AA43" i="17" s="1"/>
  <c r="N27" i="17"/>
  <c r="O27" i="17" s="1"/>
  <c r="AA27" i="17" s="1"/>
  <c r="N29" i="17"/>
  <c r="O29" i="17" s="1"/>
  <c r="AA29" i="17" s="1"/>
  <c r="N55" i="17"/>
  <c r="O55" i="17" s="1"/>
  <c r="AA55" i="17" s="1"/>
  <c r="N71" i="17"/>
  <c r="O71" i="17" s="1"/>
  <c r="AA71" i="17" s="1"/>
  <c r="N31" i="17"/>
  <c r="O31" i="17" s="1"/>
  <c r="AA31" i="17" s="1"/>
  <c r="C25" i="15"/>
  <c r="W25" i="15" s="1"/>
  <c r="X25" i="15" s="1"/>
  <c r="N6" i="17"/>
  <c r="O6" i="17" s="1"/>
  <c r="AA6" i="17" s="1"/>
  <c r="N8" i="17"/>
  <c r="O8" i="17" s="1"/>
  <c r="AA8" i="17" s="1"/>
  <c r="R25" i="15"/>
  <c r="S25" i="15" s="1"/>
  <c r="AM25" i="15" s="1"/>
  <c r="AN25" i="15" s="1"/>
  <c r="S24" i="15"/>
  <c r="AM24" i="15" s="1"/>
  <c r="AN24" i="15" s="1"/>
  <c r="L25" i="15"/>
  <c r="M24" i="15"/>
  <c r="AG24" i="15" s="1"/>
  <c r="AH24" i="15" s="1"/>
  <c r="J25" i="15"/>
  <c r="K24" i="15"/>
  <c r="AE24" i="15" s="1"/>
  <c r="AF24" i="15" s="1"/>
  <c r="G24" i="15"/>
  <c r="AA24" i="15" s="1"/>
  <c r="AB24" i="15" s="1"/>
  <c r="F25" i="15"/>
  <c r="D25" i="15"/>
  <c r="E24" i="15"/>
  <c r="Y24" i="15" s="1"/>
  <c r="Z24" i="15" s="1"/>
  <c r="P25" i="15"/>
  <c r="N77" i="17" s="1"/>
  <c r="O77" i="17" s="1"/>
  <c r="AA77" i="17" s="1"/>
  <c r="Q24" i="15"/>
  <c r="AK24" i="15" s="1"/>
  <c r="AL24" i="15" s="1"/>
  <c r="N25" i="15"/>
  <c r="O24" i="15"/>
  <c r="AI24" i="15" s="1"/>
  <c r="AJ24" i="15" s="1"/>
  <c r="L22" i="23" l="1"/>
  <c r="H21" i="23"/>
  <c r="L21" i="23"/>
  <c r="F21" i="23"/>
  <c r="D22" i="23"/>
  <c r="J21" i="23"/>
  <c r="I21" i="23"/>
  <c r="K21" i="23"/>
  <c r="E21" i="23"/>
  <c r="M22" i="23"/>
  <c r="K25" i="15"/>
  <c r="AE25" i="15" s="1"/>
  <c r="AF25" i="15" s="1"/>
  <c r="N7" i="17"/>
  <c r="O7" i="17" s="1"/>
  <c r="AA7" i="17" s="1"/>
  <c r="N9" i="17"/>
  <c r="O9" i="17" s="1"/>
  <c r="AA9" i="17" s="1"/>
  <c r="M25" i="15"/>
  <c r="AG25" i="15" s="1"/>
  <c r="AH25" i="15" s="1"/>
  <c r="N25" i="17"/>
  <c r="O25" i="17" s="1"/>
  <c r="AA25" i="17" s="1"/>
  <c r="N13" i="17"/>
  <c r="O13" i="17" s="1"/>
  <c r="AA13" i="17" s="1"/>
  <c r="N23" i="17"/>
  <c r="O23" i="17" s="1"/>
  <c r="AA23" i="17" s="1"/>
  <c r="N17" i="17"/>
  <c r="O17" i="17" s="1"/>
  <c r="AA17" i="17" s="1"/>
  <c r="N53" i="17"/>
  <c r="O53" i="17" s="1"/>
  <c r="AA53" i="17" s="1"/>
  <c r="N41" i="17"/>
  <c r="O41" i="17" s="1"/>
  <c r="AA41" i="17" s="1"/>
  <c r="N83" i="17"/>
  <c r="O83" i="17" s="1"/>
  <c r="AA83" i="17" s="1"/>
  <c r="N39" i="17"/>
  <c r="O39" i="17" s="1"/>
  <c r="AA39" i="17" s="1"/>
  <c r="N19" i="17"/>
  <c r="O19" i="17" s="1"/>
  <c r="AA19" i="17" s="1"/>
  <c r="N33" i="17"/>
  <c r="O33" i="17" s="1"/>
  <c r="AA33" i="17" s="1"/>
  <c r="N35" i="17"/>
  <c r="O35" i="17" s="1"/>
  <c r="AA35" i="17" s="1"/>
  <c r="N51" i="17"/>
  <c r="O51" i="17" s="1"/>
  <c r="AA51" i="17" s="1"/>
  <c r="O25" i="15"/>
  <c r="AI25" i="15" s="1"/>
  <c r="AJ25" i="15" s="1"/>
  <c r="N37" i="17"/>
  <c r="O37" i="17" s="1"/>
  <c r="AA37" i="17" s="1"/>
  <c r="N63" i="17"/>
  <c r="O63" i="17" s="1"/>
  <c r="AA63" i="17" s="1"/>
  <c r="N21" i="17"/>
  <c r="O21" i="17" s="1"/>
  <c r="AA21" i="17" s="1"/>
  <c r="Q25" i="15"/>
  <c r="AK25" i="15" s="1"/>
  <c r="AL25" i="15" s="1"/>
  <c r="N65" i="17"/>
  <c r="O65" i="17" s="1"/>
  <c r="AA65" i="17" s="1"/>
  <c r="N88" i="17"/>
  <c r="O88" i="17" s="1"/>
  <c r="AA88" i="17" s="1"/>
  <c r="N44" i="17"/>
  <c r="O44" i="17" s="1"/>
  <c r="AA44" i="17" s="1"/>
  <c r="N54" i="17"/>
  <c r="O54" i="17" s="1"/>
  <c r="AA54" i="17" s="1"/>
  <c r="N87" i="17"/>
  <c r="O87" i="17" s="1"/>
  <c r="AA87" i="17" s="1"/>
  <c r="N15" i="17"/>
  <c r="O15" i="17" s="1"/>
  <c r="AA15" i="17" s="1"/>
  <c r="N42" i="17"/>
  <c r="O42" i="17" s="1"/>
  <c r="AA42" i="17" s="1"/>
  <c r="N57" i="17"/>
  <c r="O57" i="17" s="1"/>
  <c r="AA57" i="17" s="1"/>
  <c r="N49" i="17"/>
  <c r="O49" i="17" s="1"/>
  <c r="AA49" i="17" s="1"/>
  <c r="N47" i="17"/>
  <c r="O47" i="17" s="1"/>
  <c r="AA47" i="17" s="1"/>
  <c r="N85" i="17"/>
  <c r="O85" i="17" s="1"/>
  <c r="AA85" i="17" s="1"/>
  <c r="N61" i="17"/>
  <c r="O61" i="17" s="1"/>
  <c r="AA61" i="17" s="1"/>
  <c r="N59" i="17"/>
  <c r="O59" i="17" s="1"/>
  <c r="AA59" i="17" s="1"/>
  <c r="N79" i="17"/>
  <c r="O79" i="17" s="1"/>
  <c r="AA79" i="17" s="1"/>
  <c r="N75" i="17"/>
  <c r="O75" i="17" s="1"/>
  <c r="AA75" i="17" s="1"/>
  <c r="N73" i="17"/>
  <c r="O73" i="17" s="1"/>
  <c r="AA73" i="17" s="1"/>
  <c r="N68" i="17"/>
  <c r="O68" i="17" s="1"/>
  <c r="AA68" i="17" s="1"/>
  <c r="N67" i="17"/>
  <c r="O67" i="17" s="1"/>
  <c r="AA67" i="17" s="1"/>
  <c r="N70" i="17"/>
  <c r="O70" i="17" s="1"/>
  <c r="AA70" i="17" s="1"/>
  <c r="N30" i="17"/>
  <c r="O30" i="17" s="1"/>
  <c r="AA30" i="17" s="1"/>
  <c r="N28" i="17"/>
  <c r="O28" i="17" s="1"/>
  <c r="AA28" i="17" s="1"/>
  <c r="N26" i="17"/>
  <c r="O26" i="17" s="1"/>
  <c r="AA26" i="17" s="1"/>
  <c r="E25" i="15"/>
  <c r="Y25" i="15" s="1"/>
  <c r="Z25" i="15" s="1"/>
  <c r="N24" i="17"/>
  <c r="O24" i="17" s="1"/>
  <c r="AA24" i="17" s="1"/>
  <c r="N22" i="17"/>
  <c r="O22" i="17" s="1"/>
  <c r="AA22" i="17" s="1"/>
  <c r="N18" i="17"/>
  <c r="O18" i="17" s="1"/>
  <c r="AA18" i="17" s="1"/>
  <c r="N34" i="17"/>
  <c r="O34" i="17" s="1"/>
  <c r="AA34" i="17" s="1"/>
  <c r="N40" i="17"/>
  <c r="O40" i="17" s="1"/>
  <c r="AA40" i="17" s="1"/>
  <c r="N82" i="17"/>
  <c r="O82" i="17" s="1"/>
  <c r="AA82" i="17" s="1"/>
  <c r="N38" i="17"/>
  <c r="O38" i="17" s="1"/>
  <c r="AA38" i="17" s="1"/>
  <c r="N16" i="17"/>
  <c r="O16" i="17" s="1"/>
  <c r="AA16" i="17" s="1"/>
  <c r="N52" i="17"/>
  <c r="O52" i="17" s="1"/>
  <c r="AA52" i="17" s="1"/>
  <c r="N32" i="17"/>
  <c r="O32" i="17" s="1"/>
  <c r="AA32" i="17" s="1"/>
  <c r="N12" i="17"/>
  <c r="O12" i="17" s="1"/>
  <c r="AA12" i="17" s="1"/>
  <c r="N50" i="17"/>
  <c r="O50" i="17" s="1"/>
  <c r="AA50" i="17" s="1"/>
  <c r="G25" i="15"/>
  <c r="AA25" i="15" s="1"/>
  <c r="AB25" i="15" s="1"/>
  <c r="N62" i="17"/>
  <c r="O62" i="17" s="1"/>
  <c r="AA62" i="17" s="1"/>
  <c r="N20" i="17"/>
  <c r="O20" i="17" s="1"/>
  <c r="AA20" i="17" s="1"/>
  <c r="N36" i="17"/>
  <c r="O36" i="17" s="1"/>
  <c r="AA36" i="17" s="1"/>
  <c r="J22" i="23" l="1"/>
  <c r="F22" i="23"/>
  <c r="I22" i="23"/>
  <c r="E22" i="23"/>
  <c r="K22" i="23"/>
  <c r="H2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Harrison</author>
  </authors>
  <commentList>
    <comment ref="P9" authorId="0" shapeId="0" xr:uid="{5007B9FB-7247-492F-B9E5-373CC7217E26}">
      <text>
        <r>
          <rPr>
            <b/>
            <sz val="9"/>
            <color indexed="81"/>
            <rFont val="Tahoma"/>
            <family val="2"/>
          </rPr>
          <t>12/20/2023 - Added 1 assistant director position. However, no District funding. Costs will be covered by schools.</t>
        </r>
      </text>
    </comment>
    <comment ref="P10" authorId="0" shapeId="0" xr:uid="{CDD19DA2-19F9-4FC7-8BE5-3081877F874F}">
      <text>
        <r>
          <rPr>
            <b/>
            <sz val="9"/>
            <color indexed="81"/>
            <rFont val="Tahoma"/>
            <charset val="1"/>
          </rPr>
          <t>11/29/2023 - Added Ballroom Dance with 1 head advisor and 2 assitant advisors modeled after Dance Company allocations. However, no District funding for now. Costs will be covered by schools.</t>
        </r>
      </text>
    </comment>
    <comment ref="P11" authorId="0" shapeId="0" xr:uid="{01F0D34F-089B-406E-9FCC-5BA8BD6EBE60}">
      <text>
        <r>
          <rPr>
            <b/>
            <sz val="9"/>
            <color indexed="81"/>
            <rFont val="Tahoma"/>
            <charset val="1"/>
          </rPr>
          <t>11/29/2023 - Added Ballroom Dance with 1 head advisor and 2 assitant advisors modeled after Dance Company allocations. However, no District funding for now. Costs will be covered by schools.</t>
        </r>
      </text>
    </comment>
    <comment ref="E14" authorId="0" shapeId="0" xr:uid="{EB44018D-9128-4358-A43A-44A58737CAA0}">
      <text>
        <r>
          <rPr>
            <b/>
            <sz val="9"/>
            <color indexed="81"/>
            <rFont val="Tahoma"/>
            <family val="2"/>
          </rPr>
          <t>3/13/2023 - Changed from D to C effective 7/1/2023</t>
        </r>
      </text>
    </comment>
    <comment ref="E15" authorId="0" shapeId="0" xr:uid="{0FC15406-8FC0-451D-9C11-102C27AE3C85}">
      <text>
        <r>
          <rPr>
            <b/>
            <sz val="9"/>
            <color indexed="81"/>
            <rFont val="Tahoma"/>
            <family val="2"/>
          </rPr>
          <t>3/13/2023 - Changed from H to G effective 7/1/2023</t>
        </r>
      </text>
    </comment>
    <comment ref="E16" authorId="0" shapeId="0" xr:uid="{CF3E5B95-B2D8-4F84-9DF6-940C5E4DCC7B}">
      <text>
        <r>
          <rPr>
            <b/>
            <sz val="9"/>
            <color indexed="81"/>
            <rFont val="Tahoma"/>
            <family val="2"/>
          </rPr>
          <t>1/9/2023 - Changed from B to A effective 7/1/2023</t>
        </r>
      </text>
    </comment>
    <comment ref="E17" authorId="0" shapeId="0" xr:uid="{EC4E5299-D698-421B-8B6B-A72B27EC31C3}">
      <text>
        <r>
          <rPr>
            <b/>
            <sz val="9"/>
            <color indexed="81"/>
            <rFont val="Tahoma"/>
            <family val="2"/>
          </rPr>
          <t>1/9/2023 - Changed from F to E effective 7/1/2023</t>
        </r>
      </text>
    </comment>
    <comment ref="P17" authorId="0" shapeId="0" xr:uid="{E0999E12-3CE6-4C44-9BD7-495C1841552A}">
      <text>
        <r>
          <rPr>
            <b/>
            <sz val="9"/>
            <color indexed="81"/>
            <rFont val="Tahoma"/>
            <family val="2"/>
          </rPr>
          <t>3/13/2023 - Added 2.0 available to allow for additional assistant needed in relation to sanctioning of 9th grade program effective 7/1/2023.</t>
        </r>
        <r>
          <rPr>
            <sz val="9"/>
            <color indexed="81"/>
            <rFont val="Tahoma"/>
            <family val="2"/>
          </rPr>
          <t xml:space="preserve">
</t>
        </r>
      </text>
    </comment>
    <comment ref="Q17" authorId="0" shapeId="0" xr:uid="{5EC1A1B8-5439-4FAE-870F-1D927B45017D}">
      <text>
        <r>
          <rPr>
            <b/>
            <sz val="9"/>
            <color indexed="81"/>
            <rFont val="Tahoma"/>
            <family val="2"/>
          </rPr>
          <t>3/13/2023 - Added funding to cover 0.5  in relation to sanctioning of 9th grade program effective 7/1/2023.</t>
        </r>
        <r>
          <rPr>
            <sz val="9"/>
            <color indexed="81"/>
            <rFont val="Tahoma"/>
            <family val="2"/>
          </rPr>
          <t xml:space="preserve">
</t>
        </r>
      </text>
    </comment>
    <comment ref="E18" authorId="0" shapeId="0" xr:uid="{FACB0446-C429-4868-A598-5526441114BF}">
      <text>
        <r>
          <rPr>
            <b/>
            <sz val="9"/>
            <color indexed="81"/>
            <rFont val="Tahoma"/>
            <family val="2"/>
          </rPr>
          <t>1/9/2023 - Changed from B to A effective 7/1/2023</t>
        </r>
      </text>
    </comment>
    <comment ref="E19" authorId="0" shapeId="0" xr:uid="{57959802-8A83-4E1E-8A95-B24F9C300734}">
      <text>
        <r>
          <rPr>
            <b/>
            <sz val="9"/>
            <color indexed="81"/>
            <rFont val="Tahoma"/>
            <family val="2"/>
          </rPr>
          <t>1/9/2023 - Changed from F to E effective 7/1/2023</t>
        </r>
      </text>
    </comment>
    <comment ref="P19" authorId="0" shapeId="0" xr:uid="{47F349BE-2EF7-4433-8715-BFC70F16140B}">
      <text>
        <r>
          <rPr>
            <b/>
            <sz val="9"/>
            <color indexed="81"/>
            <rFont val="Tahoma"/>
            <family val="2"/>
          </rPr>
          <t>3/13/2023 - Added 2.0 available to allow for additional assistant needed in relation to sanctioning of 9th grade program effective 7/1/2023.</t>
        </r>
        <r>
          <rPr>
            <sz val="9"/>
            <color indexed="81"/>
            <rFont val="Tahoma"/>
            <family val="2"/>
          </rPr>
          <t xml:space="preserve">
</t>
        </r>
      </text>
    </comment>
    <comment ref="Q19" authorId="0" shapeId="0" xr:uid="{94D36B07-3C07-468D-8697-6194222A1C35}">
      <text>
        <r>
          <rPr>
            <b/>
            <sz val="9"/>
            <color indexed="81"/>
            <rFont val="Tahoma"/>
            <family val="2"/>
          </rPr>
          <t>3/13/2023 - Added funding to cover 0.5  in relation to sanctioning of 9th grade program effective 7/1/2023.</t>
        </r>
        <r>
          <rPr>
            <sz val="9"/>
            <color indexed="81"/>
            <rFont val="Tahoma"/>
            <family val="2"/>
          </rPr>
          <t xml:space="preserve">
</t>
        </r>
      </text>
    </comment>
    <comment ref="E20" authorId="0" shapeId="0" xr:uid="{65953A61-4991-4B58-BA8B-C618414CD67F}">
      <text>
        <r>
          <rPr>
            <b/>
            <sz val="9"/>
            <color indexed="81"/>
            <rFont val="Tahoma"/>
            <family val="2"/>
          </rPr>
          <t>3/13/2023 - Changed from C to B effective 7/1/2023</t>
        </r>
      </text>
    </comment>
    <comment ref="E21" authorId="0" shapeId="0" xr:uid="{F69DC0BB-9691-47A6-A76F-9C63C6A6C656}">
      <text>
        <r>
          <rPr>
            <b/>
            <sz val="9"/>
            <color indexed="81"/>
            <rFont val="Tahoma"/>
            <family val="2"/>
          </rPr>
          <t>3/13/2023 - Changed from G to F effective 7/1/2023</t>
        </r>
      </text>
    </comment>
    <comment ref="E36" authorId="0" shapeId="0" xr:uid="{8A64B107-B822-42BD-8210-E27323684A4A}">
      <text>
        <r>
          <rPr>
            <b/>
            <sz val="9"/>
            <color indexed="81"/>
            <rFont val="Tahoma"/>
            <family val="2"/>
          </rPr>
          <t>3/13/2023 - Changed from C to B effective 7/1/2023</t>
        </r>
      </text>
    </comment>
    <comment ref="E37" authorId="0" shapeId="0" xr:uid="{57023266-35FD-42B8-9695-721BE3776BEB}">
      <text>
        <r>
          <rPr>
            <b/>
            <sz val="9"/>
            <color indexed="81"/>
            <rFont val="Tahoma"/>
            <family val="2"/>
          </rPr>
          <t>3/13/2023 - Changed from G to F effective 7/1/2023</t>
        </r>
      </text>
    </comment>
    <comment ref="P39" authorId="0" shapeId="0" xr:uid="{AEFA7F88-886F-4511-9D0A-1A15D8AA8408}">
      <text>
        <r>
          <rPr>
            <b/>
            <sz val="9"/>
            <color indexed="81"/>
            <rFont val="Tahoma"/>
            <family val="2"/>
          </rPr>
          <t>6/28/2022 - Added 1 additional assistant to be paid for by school. This was from a reduction in Pep Band assistants. District funding did not change.</t>
        </r>
        <r>
          <rPr>
            <sz val="9"/>
            <color indexed="81"/>
            <rFont val="Tahoma"/>
            <family val="2"/>
          </rPr>
          <t xml:space="preserve">
</t>
        </r>
      </text>
    </comment>
    <comment ref="E40" authorId="0" shapeId="0" xr:uid="{2170CA0C-2F8F-4C04-B74C-1F4654949CCB}">
      <text>
        <r>
          <rPr>
            <b/>
            <sz val="9"/>
            <color indexed="81"/>
            <rFont val="Tahoma"/>
            <family val="2"/>
          </rPr>
          <t>1/9/2023 - Changed from B to A effective 7/1/2023</t>
        </r>
      </text>
    </comment>
    <comment ref="E41" authorId="0" shapeId="0" xr:uid="{911FFF2B-C338-4769-A4AC-E6152A777E2D}">
      <text>
        <r>
          <rPr>
            <b/>
            <sz val="9"/>
            <color indexed="81"/>
            <rFont val="Tahoma"/>
            <family val="2"/>
          </rPr>
          <t>1/9/2023 - Changed from F to E effective 7/1/2023</t>
        </r>
      </text>
    </comment>
    <comment ref="Q41" authorId="0" shapeId="0" xr:uid="{60230594-39F6-44C2-8F1B-8B898DCAD1E2}">
      <text>
        <r>
          <rPr>
            <b/>
            <sz val="9"/>
            <color indexed="81"/>
            <rFont val="Tahoma"/>
            <family val="2"/>
          </rPr>
          <t>May 2021 - Agreed to include 9th grade in high school program and as a result increased number of assistants from 12 to 15 with District covering cost for one of the additional 3 coaches and schools covering the other 2.</t>
        </r>
      </text>
    </comment>
    <comment ref="E46" authorId="0" shapeId="0" xr:uid="{F198A0FC-D08B-4D52-AC29-6BB2CF20982C}">
      <text>
        <r>
          <rPr>
            <b/>
            <sz val="9"/>
            <color indexed="81"/>
            <rFont val="Tahoma"/>
            <family val="2"/>
          </rPr>
          <t>3/13/2023 - Changed from D to C effective 7/1/2023</t>
        </r>
      </text>
    </comment>
    <comment ref="E47" authorId="0" shapeId="0" xr:uid="{863012D3-48B3-4099-9D87-D7573B2A43E5}">
      <text>
        <r>
          <rPr>
            <b/>
            <sz val="9"/>
            <color indexed="81"/>
            <rFont val="Tahoma"/>
            <family val="2"/>
          </rPr>
          <t>3/13/2023 - Changed from H to G effective 7/1/2023</t>
        </r>
      </text>
    </comment>
    <comment ref="P47" authorId="0" shapeId="0" xr:uid="{AD866A61-A95F-4B5B-A6BA-0E59A8A1A09C}">
      <text>
        <r>
          <rPr>
            <b/>
            <sz val="9"/>
            <color indexed="81"/>
            <rFont val="Tahoma"/>
            <charset val="1"/>
          </rPr>
          <t>11/29/2023 - Added 2.0 assistant to allow for sophmore teams. Will be funded by school. No District funding</t>
        </r>
      </text>
    </comment>
    <comment ref="E48" authorId="0" shapeId="0" xr:uid="{281B940A-9CAD-4F5B-99EA-0CD6094BC574}">
      <text>
        <r>
          <rPr>
            <b/>
            <sz val="9"/>
            <color indexed="81"/>
            <rFont val="Tahoma"/>
            <family val="2"/>
          </rPr>
          <t>3/13/2023 - Changed from D to C effective 7/1/2023</t>
        </r>
      </text>
    </comment>
    <comment ref="E49" authorId="0" shapeId="0" xr:uid="{3ACC4AFF-40E7-448D-A47A-692D079A8894}">
      <text>
        <r>
          <rPr>
            <b/>
            <sz val="9"/>
            <color indexed="81"/>
            <rFont val="Tahoma"/>
            <family val="2"/>
          </rPr>
          <t>3/13/2023 - Changed from H to G effective 7/1/2023</t>
        </r>
      </text>
    </comment>
    <comment ref="P49" authorId="0" shapeId="0" xr:uid="{318F12D8-7739-4E0A-9BD9-EB4270A7BD61}">
      <text>
        <r>
          <rPr>
            <b/>
            <sz val="9"/>
            <color indexed="81"/>
            <rFont val="Tahoma"/>
            <charset val="1"/>
          </rPr>
          <t>11/29/2023 - Added 2.0 assistant to allow for sophmore teams. Will be funded by school. No District funding</t>
        </r>
      </text>
    </comment>
    <comment ref="D50" authorId="0" shapeId="0" xr:uid="{C677C600-29A5-4868-923A-42C7BB7B980C}">
      <text>
        <r>
          <rPr>
            <b/>
            <sz val="9"/>
            <color indexed="81"/>
            <rFont val="Tahoma"/>
            <family val="2"/>
          </rPr>
          <t>1/9/2023 - Changed from 0 to 1 effective 7/1/2023</t>
        </r>
        <r>
          <rPr>
            <sz val="9"/>
            <color indexed="81"/>
            <rFont val="Tahoma"/>
            <family val="2"/>
          </rPr>
          <t xml:space="preserve">
</t>
        </r>
      </text>
    </comment>
    <comment ref="E50" authorId="0" shapeId="0" xr:uid="{5B5AA7DC-7D8D-41F1-BABC-0288FF03A8DA}">
      <text>
        <r>
          <rPr>
            <b/>
            <sz val="9"/>
            <color indexed="81"/>
            <rFont val="Tahoma"/>
            <family val="2"/>
          </rPr>
          <t>1/9/2023 - Changed from B to D and eliminated additional 20 days of compensation in summers effective 7/1/2023</t>
        </r>
      </text>
    </comment>
    <comment ref="P50" authorId="0" shapeId="0" xr:uid="{ECCE9A74-9B7D-4EE9-9F86-C38FD7C1FAB2}">
      <text>
        <r>
          <rPr>
            <b/>
            <sz val="9"/>
            <color indexed="81"/>
            <rFont val="Tahoma"/>
            <family val="2"/>
          </rPr>
          <t>1/9/2023 - Added 1.0 available and fully funded it starting 7/1/2023.</t>
        </r>
        <r>
          <rPr>
            <sz val="9"/>
            <color indexed="81"/>
            <rFont val="Tahoma"/>
            <family val="2"/>
          </rPr>
          <t xml:space="preserve">
</t>
        </r>
      </text>
    </comment>
    <comment ref="Q50" authorId="0" shapeId="0" xr:uid="{8E7C3B39-912D-4D07-9174-A2DD0B256AF4}">
      <text>
        <r>
          <rPr>
            <b/>
            <sz val="9"/>
            <color indexed="81"/>
            <rFont val="Tahoma"/>
            <family val="2"/>
          </rPr>
          <t>1/9/2023 - Added 1.0 available and fully funded it starting 7/1/2023.</t>
        </r>
        <r>
          <rPr>
            <sz val="9"/>
            <color indexed="81"/>
            <rFont val="Tahoma"/>
            <family val="2"/>
          </rPr>
          <t xml:space="preserve">
</t>
        </r>
      </text>
    </comment>
    <comment ref="E51" authorId="0" shapeId="0" xr:uid="{F0BEC2C7-D3B4-44C3-8236-AE944B10E34A}">
      <text>
        <r>
          <rPr>
            <b/>
            <sz val="9"/>
            <color indexed="81"/>
            <rFont val="Tahoma"/>
            <family val="2"/>
          </rPr>
          <t>1/9/2023 - Changed from F to H effective 7/1/2023</t>
        </r>
      </text>
    </comment>
    <comment ref="P55" authorId="0" shapeId="0" xr:uid="{4A125029-9BFD-45D8-8B52-17DB717C69D6}">
      <text>
        <r>
          <rPr>
            <b/>
            <sz val="9"/>
            <color indexed="81"/>
            <rFont val="Tahoma"/>
            <family val="2"/>
          </rPr>
          <t>6/28/2022 - Reduced 1 assistant and added it to Drum Line. District funding did not change.</t>
        </r>
        <r>
          <rPr>
            <sz val="9"/>
            <color indexed="81"/>
            <rFont val="Tahoma"/>
            <family val="2"/>
          </rPr>
          <t xml:space="preserve">
</t>
        </r>
      </text>
    </comment>
    <comment ref="E56" authorId="0" shapeId="0" xr:uid="{4734A216-28AC-4689-8108-E6FE61FA1107}">
      <text>
        <r>
          <rPr>
            <b/>
            <sz val="9"/>
            <color indexed="81"/>
            <rFont val="Tahoma"/>
            <family val="2"/>
          </rPr>
          <t>3/13/2023 - Changed from D to C effective 7/1/2023</t>
        </r>
      </text>
    </comment>
    <comment ref="E57" authorId="0" shapeId="0" xr:uid="{E22E355B-1570-4C14-B512-63C449211300}">
      <text>
        <r>
          <rPr>
            <b/>
            <sz val="9"/>
            <color indexed="81"/>
            <rFont val="Tahoma"/>
            <family val="2"/>
          </rPr>
          <t>3/13/2023 - Changed from H to G effective 7/1/2023</t>
        </r>
      </text>
    </comment>
    <comment ref="E58" authorId="0" shapeId="0" xr:uid="{5D0DADEB-FB82-4598-B800-878122A5F234}">
      <text>
        <r>
          <rPr>
            <b/>
            <sz val="9"/>
            <color indexed="81"/>
            <rFont val="Tahoma"/>
            <family val="2"/>
          </rPr>
          <t>3/13/2023 - Changed from D to C effective 7/1/2023</t>
        </r>
      </text>
    </comment>
    <comment ref="E59" authorId="0" shapeId="0" xr:uid="{D52E1FEE-568C-4D3D-AAE4-76910B74F5E3}">
      <text>
        <r>
          <rPr>
            <b/>
            <sz val="9"/>
            <color indexed="81"/>
            <rFont val="Tahoma"/>
            <family val="2"/>
          </rPr>
          <t>3/13/2023 - Changed from H to G effective 7/1/2023</t>
        </r>
      </text>
    </comment>
    <comment ref="E60" authorId="0" shapeId="0" xr:uid="{D4B67E37-99B2-4CC2-9638-F61BDE903745}">
      <text>
        <r>
          <rPr>
            <b/>
            <sz val="9"/>
            <color indexed="81"/>
            <rFont val="Tahoma"/>
            <family val="2"/>
          </rPr>
          <t>3/13/2023 - Changed from D to C effective 7/1/2023</t>
        </r>
      </text>
    </comment>
    <comment ref="E61" authorId="0" shapeId="0" xr:uid="{B6A9D609-E2DB-4AD6-8303-1F1FC1ABD3F0}">
      <text>
        <r>
          <rPr>
            <b/>
            <sz val="9"/>
            <color indexed="81"/>
            <rFont val="Tahoma"/>
            <family val="2"/>
          </rPr>
          <t>3/13/2023 - Changed from H to G effective 7/1/2023</t>
        </r>
      </text>
    </comment>
    <comment ref="E64" authorId="0" shapeId="0" xr:uid="{5674FD59-16AE-47DB-8AEA-907592B50E1A}">
      <text>
        <r>
          <rPr>
            <b/>
            <sz val="9"/>
            <color indexed="81"/>
            <rFont val="Tahoma"/>
            <family val="2"/>
          </rPr>
          <t>3/13/2023 - Changed from D to C effective 7/1/2023</t>
        </r>
      </text>
    </comment>
    <comment ref="E65" authorId="0" shapeId="0" xr:uid="{9DD95AAA-DD35-42E9-9236-823E7800E4EF}">
      <text>
        <r>
          <rPr>
            <b/>
            <sz val="9"/>
            <color indexed="81"/>
            <rFont val="Tahoma"/>
            <family val="2"/>
          </rPr>
          <t>3/13/2023 - Changed from H to G effective 7/1/2023</t>
        </r>
      </text>
    </comment>
    <comment ref="E66" authorId="0" shapeId="0" xr:uid="{ABFF7007-A3C1-49C7-925A-2CC90C4FA73F}">
      <text>
        <r>
          <rPr>
            <b/>
            <sz val="9"/>
            <color indexed="81"/>
            <rFont val="Tahoma"/>
            <family val="2"/>
          </rPr>
          <t>3/13/2023 - Changed from D to C effective 7/1/2023</t>
        </r>
      </text>
    </comment>
    <comment ref="E67" authorId="0" shapeId="0" xr:uid="{C7F73EC6-0077-4CDE-9A27-41BA3A0B8B1B}">
      <text>
        <r>
          <rPr>
            <b/>
            <sz val="9"/>
            <color indexed="81"/>
            <rFont val="Tahoma"/>
            <family val="2"/>
          </rPr>
          <t>3/13/2023 - Changed from H to G effective 7/1/2023</t>
        </r>
      </text>
    </comment>
    <comment ref="E68" authorId="0" shapeId="0" xr:uid="{3A7BCAC7-DF58-47F7-849A-0E7D84D1603D}">
      <text>
        <r>
          <rPr>
            <b/>
            <sz val="9"/>
            <color indexed="81"/>
            <rFont val="Tahoma"/>
            <family val="2"/>
          </rPr>
          <t>1/9/2023 - Changed from H to F effective 7/1/2023</t>
        </r>
      </text>
    </comment>
    <comment ref="E69" authorId="0" shapeId="0" xr:uid="{EAE65752-E063-48FF-97C0-3A47E666E5DD}">
      <text>
        <r>
          <rPr>
            <b/>
            <sz val="9"/>
            <color indexed="81"/>
            <rFont val="Tahoma"/>
            <family val="2"/>
          </rPr>
          <t>3/13/2023 - Changed from J to I effective 7/1/2023</t>
        </r>
      </text>
    </comment>
    <comment ref="E70" authorId="0" shapeId="0" xr:uid="{DA390BF0-266A-408F-ACD2-9CACFEE23E03}">
      <text>
        <r>
          <rPr>
            <b/>
            <sz val="9"/>
            <color indexed="81"/>
            <rFont val="Tahoma"/>
            <family val="2"/>
          </rPr>
          <t>1/9/2023 - Changed from H to F effective 7/1/2023</t>
        </r>
      </text>
    </comment>
    <comment ref="E71" authorId="0" shapeId="0" xr:uid="{9973A540-0C24-4E84-BA01-DB9E28A68E21}">
      <text>
        <r>
          <rPr>
            <b/>
            <sz val="9"/>
            <color indexed="81"/>
            <rFont val="Tahoma"/>
            <family val="2"/>
          </rPr>
          <t>3/13/2023 - Changed from J to I effective 7/1/2023</t>
        </r>
      </text>
    </comment>
    <comment ref="E72" authorId="0" shapeId="0" xr:uid="{73894D3B-FC58-4430-9678-8F7F8DAD3EAC}">
      <text>
        <r>
          <rPr>
            <b/>
            <sz val="9"/>
            <color indexed="81"/>
            <rFont val="Tahoma"/>
            <family val="2"/>
          </rPr>
          <t>3/13/2023 - Changed from D to C effective 7/1/2023</t>
        </r>
      </text>
    </comment>
    <comment ref="E73" authorId="0" shapeId="0" xr:uid="{E53CD33D-F299-4921-9597-8E4778B3A68C}">
      <text>
        <r>
          <rPr>
            <b/>
            <sz val="9"/>
            <color indexed="81"/>
            <rFont val="Tahoma"/>
            <family val="2"/>
          </rPr>
          <t>3/13/2023 - Changed from H to G effective 7/1/2023</t>
        </r>
      </text>
    </comment>
    <comment ref="E74" authorId="0" shapeId="0" xr:uid="{0D3994CD-AF48-4EAA-BA4E-EA5826DB7A6C}">
      <text>
        <r>
          <rPr>
            <b/>
            <sz val="9"/>
            <color indexed="81"/>
            <rFont val="Tahoma"/>
            <family val="2"/>
          </rPr>
          <t>3/13/2023 - Changed from D to C effective 7/1/2023</t>
        </r>
      </text>
    </comment>
    <comment ref="E75" authorId="0" shapeId="0" xr:uid="{517FEEA4-24C9-462B-9D6D-2BC47B098C84}">
      <text>
        <r>
          <rPr>
            <b/>
            <sz val="9"/>
            <color indexed="81"/>
            <rFont val="Tahoma"/>
            <family val="2"/>
          </rPr>
          <t>3/13/2023 - Changed from H to G effective 7/1/2023</t>
        </r>
      </text>
    </comment>
    <comment ref="E78" authorId="0" shapeId="0" xr:uid="{7B1654B2-3557-4C04-9E5F-13DB35CA60F2}">
      <text>
        <r>
          <rPr>
            <b/>
            <sz val="9"/>
            <color indexed="81"/>
            <rFont val="Tahoma"/>
            <family val="2"/>
          </rPr>
          <t>3/13/2023 - Changed from D to C effective 7/1/2023</t>
        </r>
      </text>
    </comment>
    <comment ref="E79" authorId="0" shapeId="0" xr:uid="{A5F8E1D7-B462-40FA-862C-8AFA628DDF39}">
      <text>
        <r>
          <rPr>
            <b/>
            <sz val="9"/>
            <color indexed="81"/>
            <rFont val="Tahoma"/>
            <family val="2"/>
          </rPr>
          <t>3/13/2023 - Changed from H to G effective 7/1/2023</t>
        </r>
      </text>
    </comment>
    <comment ref="P79" authorId="0" shapeId="0" xr:uid="{D69C6E89-71E5-4703-BB3A-562FC98F26F3}">
      <text>
        <r>
          <rPr>
            <b/>
            <sz val="9"/>
            <color indexed="81"/>
            <rFont val="Tahoma"/>
            <family val="2"/>
          </rPr>
          <t>3/13/2023 - Added 1.0 available to allow for additional assistant needed in relation to sanctioning of 9th grade program effective 7/1/2023.</t>
        </r>
        <r>
          <rPr>
            <sz val="9"/>
            <color indexed="81"/>
            <rFont val="Tahoma"/>
            <family val="2"/>
          </rPr>
          <t xml:space="preserve">
</t>
        </r>
      </text>
    </comment>
    <comment ref="P80" authorId="0" shapeId="0" xr:uid="{956E29BA-B650-4072-8A4C-25A77DE81C0A}">
      <text>
        <r>
          <rPr>
            <b/>
            <sz val="9"/>
            <color indexed="81"/>
            <rFont val="Tahoma"/>
            <charset val="1"/>
          </rPr>
          <t>11/29/2023 - Added Winter Drum Line with 1 head advisor and 1 assistant advisor. However, no District funding for now. Costs will be covered by schools.</t>
        </r>
      </text>
    </comment>
    <comment ref="P81" authorId="0" shapeId="0" xr:uid="{2698F6DA-2871-48F3-AD4F-111A35B7A7B8}">
      <text>
        <r>
          <rPr>
            <b/>
            <sz val="9"/>
            <color indexed="81"/>
            <rFont val="Tahoma"/>
            <charset val="1"/>
          </rPr>
          <t>11/29/2023 - Added Winter Drum Line with 1 head advisor and 1 assistant advisor. However, no District funding for now. Costs will be covered by schools.</t>
        </r>
      </text>
    </comment>
    <comment ref="P82" authorId="0" shapeId="0" xr:uid="{1394D06D-F21E-47BE-86C1-A0B49314B578}">
      <text>
        <r>
          <rPr>
            <b/>
            <sz val="9"/>
            <color indexed="81"/>
            <rFont val="Tahoma"/>
            <charset val="1"/>
          </rPr>
          <t>11/29/2023 - Added 1 head advisor to Winter Guard and reduced assistants from 2 to 1. However, no District funding for now. Costs will be covered by schools.</t>
        </r>
      </text>
    </comment>
    <comment ref="E83" authorId="0" shapeId="0" xr:uid="{5D5CE465-24A3-478E-ACE9-A02D73B9A0E9}">
      <text>
        <r>
          <rPr>
            <b/>
            <sz val="9"/>
            <color indexed="81"/>
            <rFont val="Tahoma"/>
            <charset val="1"/>
          </rPr>
          <t>12/20/2023 - Changed from F to I in connection with addition of a head advisor position effective 7/1/2023</t>
        </r>
      </text>
    </comment>
    <comment ref="P83" authorId="0" shapeId="0" xr:uid="{4C33DCC1-012A-46A2-89F5-C62EF8C91C50}">
      <text>
        <r>
          <rPr>
            <b/>
            <sz val="9"/>
            <color indexed="81"/>
            <rFont val="Tahoma"/>
            <charset val="1"/>
          </rPr>
          <t>11/29/2023 - Added 1 head advisor to Winter Guard and reduced assistants from 2 to 1. However, no District funding for now. Costs will be covered by schools.</t>
        </r>
      </text>
    </comment>
    <comment ref="E84" authorId="0" shapeId="0" xr:uid="{4FE5B0F2-14DC-4336-82F6-45413986434D}">
      <text>
        <r>
          <rPr>
            <b/>
            <sz val="9"/>
            <color indexed="81"/>
            <rFont val="Tahoma"/>
            <family val="2"/>
          </rPr>
          <t>3/13/2023 - Changed from D to C effective 7/1/2023</t>
        </r>
      </text>
    </comment>
    <comment ref="E85" authorId="0" shapeId="0" xr:uid="{343D2450-6414-4591-A6F7-8FFF8A077DA2}">
      <text>
        <r>
          <rPr>
            <b/>
            <sz val="9"/>
            <color indexed="81"/>
            <rFont val="Tahoma"/>
            <family val="2"/>
          </rPr>
          <t>3/13/2023 - Changed from H to G effective 7/1/2023</t>
        </r>
      </text>
    </comment>
    <comment ref="E86" authorId="0" shapeId="0" xr:uid="{D80F4B23-BBC6-4724-9073-512DA88B68DA}">
      <text>
        <r>
          <rPr>
            <b/>
            <sz val="9"/>
            <color indexed="81"/>
            <rFont val="Tahoma"/>
            <family val="2"/>
          </rPr>
          <t>3/13/2023 - Changed from D to C effective 7/1/2023</t>
        </r>
      </text>
    </comment>
    <comment ref="E87" authorId="0" shapeId="0" xr:uid="{0A74E148-7B99-4EC9-A6D6-9C1A2A19600C}">
      <text>
        <r>
          <rPr>
            <b/>
            <sz val="9"/>
            <color indexed="81"/>
            <rFont val="Tahoma"/>
            <family val="2"/>
          </rPr>
          <t>3/13/2023 - Changed from H to G effective 7/1/2023</t>
        </r>
      </text>
    </comment>
  </commentList>
</comments>
</file>

<file path=xl/sharedStrings.xml><?xml version="1.0" encoding="utf-8"?>
<sst xmlns="http://schemas.openxmlformats.org/spreadsheetml/2006/main" count="3050" uniqueCount="295">
  <si>
    <t>Position</t>
  </si>
  <si>
    <t>Base:</t>
  </si>
  <si>
    <t>A</t>
  </si>
  <si>
    <t>Football</t>
  </si>
  <si>
    <t>B</t>
  </si>
  <si>
    <t>F</t>
  </si>
  <si>
    <t>Basketball - Boys</t>
  </si>
  <si>
    <t>Basketball - Girls</t>
  </si>
  <si>
    <t>Track - Boys</t>
  </si>
  <si>
    <t>D</t>
  </si>
  <si>
    <t>H</t>
  </si>
  <si>
    <t>Track - Girls</t>
  </si>
  <si>
    <t>Baseball</t>
  </si>
  <si>
    <t>Wrestling</t>
  </si>
  <si>
    <t>Tennis - Boys</t>
  </si>
  <si>
    <t>Tennis - Girls</t>
  </si>
  <si>
    <t>Cross Country - Boys</t>
  </si>
  <si>
    <t>Cross Country - Girls</t>
  </si>
  <si>
    <t>Soccer - Boys</t>
  </si>
  <si>
    <t>Soccer - Girls</t>
  </si>
  <si>
    <t>Softball</t>
  </si>
  <si>
    <t>Drill Team</t>
  </si>
  <si>
    <t>C</t>
  </si>
  <si>
    <t>G</t>
  </si>
  <si>
    <t>Cheerleading</t>
  </si>
  <si>
    <t>Band</t>
  </si>
  <si>
    <t>Pep Band</t>
  </si>
  <si>
    <t>Orchestra</t>
  </si>
  <si>
    <t>Dance Company</t>
  </si>
  <si>
    <t>Yearbook</t>
  </si>
  <si>
    <t>Choir</t>
  </si>
  <si>
    <t>Drama</t>
  </si>
  <si>
    <t>Student Council</t>
  </si>
  <si>
    <t>Debate</t>
  </si>
  <si>
    <t>Step</t>
  </si>
  <si>
    <t>Lane A</t>
  </si>
  <si>
    <t>Percent of Base</t>
  </si>
  <si>
    <t>Amount</t>
  </si>
  <si>
    <t>19+</t>
  </si>
  <si>
    <t>Lane B</t>
  </si>
  <si>
    <t>Lane C</t>
  </si>
  <si>
    <t>Lane D</t>
  </si>
  <si>
    <t>Lane E</t>
  </si>
  <si>
    <t>Lane F</t>
  </si>
  <si>
    <t>Lane G</t>
  </si>
  <si>
    <t>Lane H</t>
  </si>
  <si>
    <t>Lane</t>
  </si>
  <si>
    <t>I</t>
  </si>
  <si>
    <t>Lane I</t>
  </si>
  <si>
    <t>Lane J</t>
  </si>
  <si>
    <t>Activity</t>
  </si>
  <si>
    <t>Maximum Number of Positions</t>
  </si>
  <si>
    <t>Head Director</t>
  </si>
  <si>
    <t>Assistant Director</t>
  </si>
  <si>
    <t>Activities Oversight</t>
  </si>
  <si>
    <t>Athletics Oversight</t>
  </si>
  <si>
    <t>Assistant Coach</t>
  </si>
  <si>
    <t>Head Coach</t>
  </si>
  <si>
    <t>Head Advisor</t>
  </si>
  <si>
    <t>Assistant Advisor</t>
  </si>
  <si>
    <t>NEBO SCHOOL DISTRICT</t>
  </si>
  <si>
    <t>School:</t>
  </si>
  <si>
    <t>Employee Number</t>
  </si>
  <si>
    <t>School-Funded Stipend</t>
  </si>
  <si>
    <t>Amount due from school:</t>
  </si>
  <si>
    <t>Notes:</t>
  </si>
  <si>
    <t>Option 1</t>
  </si>
  <si>
    <t>Option 2</t>
  </si>
  <si>
    <t>Option 3</t>
  </si>
  <si>
    <t>Legend:</t>
  </si>
  <si>
    <r>
      <rPr>
        <sz val="10"/>
        <color rgb="FF0000FF"/>
        <rFont val="Arial"/>
        <family val="2"/>
      </rPr>
      <t xml:space="preserve">BLUE </t>
    </r>
    <r>
      <rPr>
        <sz val="10"/>
        <rFont val="Arial"/>
        <family val="2"/>
      </rPr>
      <t>text</t>
    </r>
  </si>
  <si>
    <r>
      <rPr>
        <sz val="10"/>
        <color rgb="FFFF0000"/>
        <rFont val="Arial"/>
        <family val="2"/>
      </rPr>
      <t xml:space="preserve">RED </t>
    </r>
    <r>
      <rPr>
        <sz val="10"/>
        <rFont val="Arial"/>
        <family val="2"/>
      </rPr>
      <t>text</t>
    </r>
  </si>
  <si>
    <t>Date request due to Payroll Department:</t>
  </si>
  <si>
    <t>Coordinator of School Services signature</t>
  </si>
  <si>
    <t>Date signed</t>
  </si>
  <si>
    <t>Superintendent signature</t>
  </si>
  <si>
    <t>Business Administrator signature</t>
  </si>
  <si>
    <t>E</t>
  </si>
  <si>
    <t>J</t>
  </si>
  <si>
    <t>N/A</t>
  </si>
  <si>
    <t>Exhibit 1</t>
  </si>
  <si>
    <t>Funding Amount</t>
  </si>
  <si>
    <t>Number of Positions Funded by District</t>
  </si>
  <si>
    <t>Exhibit 3</t>
  </si>
  <si>
    <t>Swimming - Girls</t>
  </si>
  <si>
    <t>Swimming - Boys</t>
  </si>
  <si>
    <t>(1) Amount represents maximum amount of stipend funding provided by the District for the activity. Associated benefits will be covered by District in addition to amount shown.</t>
  </si>
  <si>
    <r>
      <t xml:space="preserve">Maximum District Funding
</t>
    </r>
    <r>
      <rPr>
        <sz val="10"/>
        <color theme="1"/>
        <rFont val="Calibri"/>
        <family val="2"/>
        <scheme val="minor"/>
      </rPr>
      <t>(1)</t>
    </r>
  </si>
  <si>
    <t>LANES</t>
  </si>
  <si>
    <t>HIGH SCHOOL ACTIVITY AND FUNDING AMOUNT</t>
  </si>
  <si>
    <t>STIPEND SCHEDULE</t>
  </si>
  <si>
    <t>JUNIOR HIGH SCHOOL ACTIVITY AND FUNDING AMOUNT</t>
  </si>
  <si>
    <t>High School Extracurricular Positions and Funding</t>
  </si>
  <si>
    <t>Golf - Boys</t>
  </si>
  <si>
    <t>Golf - Girls</t>
  </si>
  <si>
    <t>Number of Head</t>
  </si>
  <si>
    <t>Number of Assistants</t>
  </si>
  <si>
    <t>Head Title</t>
  </si>
  <si>
    <t>Head Lane</t>
  </si>
  <si>
    <t>Asssitant Lane</t>
  </si>
  <si>
    <t>Assistant Title</t>
  </si>
  <si>
    <t>Head Stipend</t>
  </si>
  <si>
    <t>Assistant Stipend</t>
  </si>
  <si>
    <t>OPTIONS</t>
  </si>
  <si>
    <t>= Entry field</t>
  </si>
  <si>
    <t>= Formula, do not alter</t>
  </si>
  <si>
    <t>= Error indication, correct before submitting</t>
  </si>
  <si>
    <t>HIGH SCHOOLS</t>
  </si>
  <si>
    <t>Maple Mountain High School</t>
  </si>
  <si>
    <t>Payson High School</t>
  </si>
  <si>
    <t>Salem Hills High School</t>
  </si>
  <si>
    <t>Spanish Fork High School</t>
  </si>
  <si>
    <t>Springville High School</t>
  </si>
  <si>
    <t>JUNIOR HIGH SCHOOLS</t>
  </si>
  <si>
    <t>Mapleton Junior High School</t>
  </si>
  <si>
    <t>Payson Junior High School</t>
  </si>
  <si>
    <t>Salem Junior High School</t>
  </si>
  <si>
    <t>Spanish Fork Junior High School</t>
  </si>
  <si>
    <t>Springville Junior High School</t>
  </si>
  <si>
    <t>Notes</t>
  </si>
  <si>
    <t>Number of Available Positions</t>
  </si>
  <si>
    <t>SEASON</t>
  </si>
  <si>
    <t>Fall</t>
  </si>
  <si>
    <t>Winter</t>
  </si>
  <si>
    <t>Spring</t>
  </si>
  <si>
    <t>All Year</t>
  </si>
  <si>
    <t>October 15</t>
  </si>
  <si>
    <t>January 15</t>
  </si>
  <si>
    <t>April 15</t>
  </si>
  <si>
    <t>November 1</t>
  </si>
  <si>
    <t>February 1</t>
  </si>
  <si>
    <t>May 1</t>
  </si>
  <si>
    <t>As soon as possible</t>
  </si>
  <si>
    <t>Employee Name</t>
  </si>
  <si>
    <t>Grand Totals</t>
  </si>
  <si>
    <t>Stipends</t>
  </si>
  <si>
    <t>Total</t>
  </si>
  <si>
    <r>
      <t xml:space="preserve">Approved for Student Contact? </t>
    </r>
    <r>
      <rPr>
        <sz val="10"/>
        <rFont val="Arial"/>
        <family val="2"/>
      </rPr>
      <t>(2)</t>
    </r>
  </si>
  <si>
    <r>
      <t xml:space="preserve">Cleared to Work by HR?
</t>
    </r>
    <r>
      <rPr>
        <sz val="10"/>
        <rFont val="Arial"/>
        <family val="2"/>
      </rPr>
      <t>(1)</t>
    </r>
  </si>
  <si>
    <r>
      <t xml:space="preserve">District-Funded Stipend 
</t>
    </r>
    <r>
      <rPr>
        <sz val="10"/>
        <rFont val="Arial"/>
        <family val="2"/>
      </rPr>
      <t>(3)</t>
    </r>
  </si>
  <si>
    <t>(1) All coaches / advisors must have hiring paperwork and background check completed by HR.</t>
  </si>
  <si>
    <t>(2) All coaches / advisors must have safety and CPR certifications completed prior to coaching or advising.</t>
  </si>
  <si>
    <r>
      <t xml:space="preserve">Benefits </t>
    </r>
    <r>
      <rPr>
        <sz val="10"/>
        <rFont val="Arial"/>
        <family val="2"/>
      </rPr>
      <t>(5)</t>
    </r>
  </si>
  <si>
    <t>Payment terms:</t>
  </si>
  <si>
    <t>Date request due to Coordinator of School Services:</t>
  </si>
  <si>
    <t>(5) Benefits for District-funded stipends are paid by the District. Benefits for school-funded stipends are paid by the school.</t>
  </si>
  <si>
    <t>Coordinator of School Services comments:</t>
  </si>
  <si>
    <t>Certification and approval signatures:</t>
  </si>
  <si>
    <t>(3) Total of District-Funded Stipends may not exceed amount shown in Policy GF for each particular sport or activity.</t>
  </si>
  <si>
    <t>(4) Total Due to Coach / Advisor may not exceed Maximum Stipend amount which is based on individual lane and step.</t>
  </si>
  <si>
    <t>Yes</t>
  </si>
  <si>
    <t>CLEARED BY HR</t>
  </si>
  <si>
    <t>No</t>
  </si>
  <si>
    <t>APPROVED FOR STUDENT CONTACT</t>
  </si>
  <si>
    <t>September 30</t>
  </si>
  <si>
    <t>October 10</t>
  </si>
  <si>
    <t>January 31</t>
  </si>
  <si>
    <t>February 10</t>
  </si>
  <si>
    <t>April 30</t>
  </si>
  <si>
    <t>May 10</t>
  </si>
  <si>
    <t>Athletic Director comments:</t>
  </si>
  <si>
    <t>Athletic Director signature</t>
  </si>
  <si>
    <t>Principal signature</t>
  </si>
  <si>
    <t>Athletic Director:</t>
  </si>
  <si>
    <t>WINTER SEASON</t>
  </si>
  <si>
    <t>SPRING SEASON</t>
  </si>
  <si>
    <t>Finance Secretary signature</t>
  </si>
  <si>
    <t>School-paid benefits are calculated at 32% of school-funded stipends for those eligible for retirement benefits and 8% for all</t>
  </si>
  <si>
    <t>others. For simplicity, this form calculates school-paid benefits at 8% for all school-funded stipends.</t>
  </si>
  <si>
    <t>assuming the request is submitted to the Coordinator of School Services by the due date and to Payroll Department by the due date.</t>
  </si>
  <si>
    <t>Athletic Director</t>
  </si>
  <si>
    <t>Finance Secretary</t>
  </si>
  <si>
    <t>Principal</t>
  </si>
  <si>
    <t>Coordinator of School Services</t>
  </si>
  <si>
    <t>Superintendent</t>
  </si>
  <si>
    <t>Business Administrator</t>
  </si>
  <si>
    <t>2. Notes in the comments section any information Superintendent, Business Administrator, or Payroll Department should be aware of.</t>
  </si>
  <si>
    <t>2. Arranges for payment to District if an amount from the school is indicated. Payment does not need to accompany form when form is submitted to District.</t>
  </si>
  <si>
    <t>Process summary:</t>
  </si>
  <si>
    <t>1. Completes form in consultation with activity head coaches / advisors. Ensures form is completed in entirety for all activities and no amounts are in RED, which indicate errors.</t>
  </si>
  <si>
    <t>Payroll Department</t>
  </si>
  <si>
    <t>1. Reviews form for completion and errors and for appropriate signatures. Returns form to Athletic Director if any issues are identified.</t>
  </si>
  <si>
    <t>1. Reviews form for completion and errors. Returns form to Athletic Director if any issues are identified.</t>
  </si>
  <si>
    <t>2. Processes payments according to payment terms noted above assuming form is received by deadline. If form is received after the deadline payment will be in the then next regular payment process.</t>
  </si>
  <si>
    <t>High School Extracurricular Lane and Step Schedule</t>
  </si>
  <si>
    <t>Exhibit 2</t>
  </si>
  <si>
    <t>Junior High School Extracurricular Positions and Funding</t>
  </si>
  <si>
    <t>(2)</t>
  </si>
  <si>
    <t xml:space="preserve">(2) Additional assistant coaches may be hired to maintain a 20 students to 1 coach ratio. As an example, a third coach (in addition to the head coach and first assistant) may be hired when there are 41 or more student participants and a fourth coach may be hired when there are 61 or more student participants. Funding for additional coaches will be paid by the school using funds generated from participation fees or discretionary funds. </t>
  </si>
  <si>
    <t>(4) Total Due to Coach / Advisor may not exceed Maximum Stipend amount.</t>
  </si>
  <si>
    <t>2. Signs and dates form and submits it to Payroll Department by due date.</t>
  </si>
  <si>
    <t>OVERSIGHT POSITIONS</t>
  </si>
  <si>
    <t>FALL SPORTS</t>
  </si>
  <si>
    <t>FALL ACTIVITIES</t>
  </si>
  <si>
    <t>WINTER SPORTS</t>
  </si>
  <si>
    <t>SPRING SPORTS</t>
  </si>
  <si>
    <t>Marching Band</t>
  </si>
  <si>
    <t>Drum Line</t>
  </si>
  <si>
    <t>WINTER ACTIVITIES</t>
  </si>
  <si>
    <t>YEAR-ROUND SPORTS</t>
  </si>
  <si>
    <t>YEAR-ROUND ACTIVITIES</t>
  </si>
  <si>
    <t>due date and to Payroll Department by the due date.</t>
  </si>
  <si>
    <t xml:space="preserve">Payment will be made in 8 equal installments starting in the October payment process and ending in the May payment process </t>
  </si>
  <si>
    <t>Payment will be made in the October payment process assuming request is submitted to Coordinator of School Services by the due</t>
  </si>
  <si>
    <t>date and to Payroll Department by the due date.</t>
  </si>
  <si>
    <t>Payment will be made in the February payment process assuming request is submitted to Coordinator of School Services by the</t>
  </si>
  <si>
    <t>Payment will be made in the May payment process assuming request is submitted to Coordinator of School Services by the due</t>
  </si>
  <si>
    <t>2. Notes in the comments section any information others in the process should be aware of such as coaches / advisors who are missing HR or certification paperwork.</t>
  </si>
  <si>
    <t>3. Prints form in color in possible, staples pages together, signs and dates form and submits it to Finance Secretary being sure to allow sufficient time to meet submission deadline to Coordinator of School Services.</t>
  </si>
  <si>
    <t>3. Signs and dates form and submits it to Principal being sure to allow sufficient time to meet submission deadline to Coordinator of School Services..</t>
  </si>
  <si>
    <t xml:space="preserve">2. Signs and dates form and submits it to Coordinator of School Services by due date. </t>
  </si>
  <si>
    <t xml:space="preserve">1. Reviews form. Returns form to Athletic Director if any issues are identified. </t>
  </si>
  <si>
    <t>3. Signs and dates form and submits it to Superintendent being sure to allow sufficient time to meet submission deadline to Payroll Department.</t>
  </si>
  <si>
    <t xml:space="preserve">1. Reviews form. Returns form to Coordinator of School Services if any issues are identified. </t>
  </si>
  <si>
    <t>2. Signs and dates form and submits it to Business Administrator being sure to allow sufficient time to meet submission deadline to Payroll Department.</t>
  </si>
  <si>
    <t xml:space="preserve">1. Reviews form paying careful attention to comments sections to identify any potention issues to be aware of. </t>
  </si>
  <si>
    <t>Total due from school</t>
  </si>
  <si>
    <t>(3)</t>
  </si>
  <si>
    <t>Activities Director:</t>
  </si>
  <si>
    <t>Activities Director signature</t>
  </si>
  <si>
    <t>Activities Director comments:</t>
  </si>
  <si>
    <t>Activities Director</t>
  </si>
  <si>
    <t>1. Reviews form for completion and errors. Returns form to Activities Director if any issues are identified.</t>
  </si>
  <si>
    <t xml:space="preserve">1. Reviews form. Returns form to Activities Director if any issues are identified. </t>
  </si>
  <si>
    <t>1. Reviews form for completion and errors and for appropriate signatures. Returns form to Activities Director if any issues are identified.</t>
  </si>
  <si>
    <t>Wrestling - Boys</t>
  </si>
  <si>
    <t>Wrestling - Girls</t>
  </si>
  <si>
    <t>(4)</t>
  </si>
  <si>
    <t>Lacrosse - Boys</t>
  </si>
  <si>
    <t>Lacrosse - Girls</t>
  </si>
  <si>
    <t>Lacrosee - Boys</t>
  </si>
  <si>
    <t>Lacrosee - Girls</t>
  </si>
  <si>
    <t>Benefit Costs</t>
  </si>
  <si>
    <t>Maximum District Stipend Funding</t>
  </si>
  <si>
    <t>Maximum District Costs</t>
  </si>
  <si>
    <t>Totals</t>
  </si>
  <si>
    <t>Number of schools</t>
  </si>
  <si>
    <t>Grand totals</t>
  </si>
  <si>
    <t>(1) Amount represents maximum amount of stipend funding provided by the District for the activity. Associated benefits will be covered by District in addition to amount shown</t>
  </si>
  <si>
    <t>(5)</t>
  </si>
  <si>
    <t>(4) Head Advisor is paid under Band</t>
  </si>
  <si>
    <t>Maximum District Funding
(1)</t>
  </si>
  <si>
    <t>(2) Employees paid as full-time athletic directors are not eligible for any of the above listed stipends, including for athletics oversight or activities oversight, whether paid by the District or through the school</t>
  </si>
  <si>
    <t>(6)</t>
  </si>
  <si>
    <t>Color Guard</t>
  </si>
  <si>
    <t>Winter Guard</t>
  </si>
  <si>
    <t xml:space="preserve">(6) Additional assistant advisors may be hired to maintain a 25 students to 1 advisor ratio. As an example, a fourth advisor (in addition to the head advisor and two assistants) may be hired when there are 76 or more student participants and a fifth advisor may be hired when there are 101 or more student participants. Funding for additional advisors will be paid by the school using funds generated from participation fees or discretionary funds. </t>
  </si>
  <si>
    <t>COACHES / ADVISORS TO BE PAID</t>
  </si>
  <si>
    <t>I have reviewed this payment request and assume responsibility for its accuracy. I certify that to the best of my knowledge, Nebo School District hiring and employment policies have been strictly adhered to for expenditures related to this payment request. I further certify that the individuals listed below are rightfully entitled to the requested funds and have performed all duties required to receive the requested funds.</t>
  </si>
  <si>
    <t>Maximum District Funding</t>
  </si>
  <si>
    <t>Maximum Stipend</t>
  </si>
  <si>
    <r>
      <t xml:space="preserve">Total
Due
</t>
    </r>
    <r>
      <rPr>
        <sz val="10"/>
        <rFont val="Arial"/>
        <family val="2"/>
      </rPr>
      <t>(4)</t>
    </r>
  </si>
  <si>
    <t>Positions</t>
  </si>
  <si>
    <t>Activity Timing</t>
  </si>
  <si>
    <t>Payment Timing</t>
  </si>
  <si>
    <t>Year-Round</t>
  </si>
  <si>
    <t>October to May</t>
  </si>
  <si>
    <t>May</t>
  </si>
  <si>
    <t>February</t>
  </si>
  <si>
    <t>October</t>
  </si>
  <si>
    <t>2023-2024</t>
  </si>
  <si>
    <t>Step 1 (Minimum)</t>
  </si>
  <si>
    <t xml:space="preserve">Funding Percentage  </t>
  </si>
  <si>
    <t>Stipend</t>
  </si>
  <si>
    <t>Step 10 (Mid-Point)</t>
  </si>
  <si>
    <t>Step 19+ (Maximum)</t>
  </si>
  <si>
    <t>Difference</t>
  </si>
  <si>
    <t>Change percentage</t>
  </si>
  <si>
    <t>Volleyball - Girls</t>
  </si>
  <si>
    <t>Volleyball - Boys</t>
  </si>
  <si>
    <t>CHANGE FROM PRIOR YEAR</t>
  </si>
  <si>
    <t>Percent</t>
  </si>
  <si>
    <t>$ Change</t>
  </si>
  <si>
    <t>% Change</t>
  </si>
  <si>
    <t>Prior Year Value</t>
  </si>
  <si>
    <t>Benefits</t>
  </si>
  <si>
    <t>Total stipends</t>
  </si>
  <si>
    <t>Total cost</t>
  </si>
  <si>
    <t>(3) Is also Head Advisor of Drum Line</t>
  </si>
  <si>
    <t>(5) Coach for girls may not be also paid as Coach for boys program if the programs are combined or run concurrently</t>
  </si>
  <si>
    <t>Not available - Contact Michael Harrison for information</t>
  </si>
  <si>
    <t>Minimum</t>
  </si>
  <si>
    <t>Maximum</t>
  </si>
  <si>
    <t>Ballroom Dance</t>
  </si>
  <si>
    <t>Total Current Year District Costs</t>
  </si>
  <si>
    <t>COLA increase:</t>
  </si>
  <si>
    <t>Winter Drum Line</t>
  </si>
  <si>
    <t>Prior base:</t>
  </si>
  <si>
    <t>New base:</t>
  </si>
  <si>
    <t>This information is for UHSAA reporting purposes:</t>
  </si>
  <si>
    <t>District Stipend Funding</t>
  </si>
  <si>
    <t>District Costs</t>
  </si>
  <si>
    <t>Prior year totals</t>
  </si>
  <si>
    <t>2023-2024
Funding Amount</t>
  </si>
  <si>
    <t>2024-2025
Funding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</si>
</sst>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s>
  <fonts count="53" x14ac:knownFonts="1">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i/>
      <sz val="16"/>
      <color theme="1"/>
      <name val="Calibri"/>
      <family val="2"/>
      <scheme val="minor"/>
    </font>
    <font>
      <b/>
      <i/>
      <sz val="10"/>
      <color theme="1"/>
      <name val="Calibri"/>
      <family val="2"/>
      <scheme val="minor"/>
    </font>
    <font>
      <sz val="10"/>
      <name val="MS Sans Serif"/>
    </font>
    <font>
      <sz val="10"/>
      <name val="Arial"/>
      <family val="2"/>
    </font>
    <font>
      <b/>
      <sz val="10"/>
      <name val="Arial"/>
      <family val="2"/>
    </font>
    <font>
      <b/>
      <sz val="14"/>
      <name val="Arial"/>
      <family val="2"/>
    </font>
    <font>
      <sz val="10"/>
      <color rgb="FF0000FF"/>
      <name val="Arial"/>
      <family val="2"/>
    </font>
    <font>
      <b/>
      <sz val="12"/>
      <name val="Arial"/>
      <family val="2"/>
    </font>
    <font>
      <sz val="10"/>
      <color rgb="FF008000"/>
      <name val="Arial"/>
      <family val="2"/>
    </font>
    <font>
      <sz val="8"/>
      <name val="Arial"/>
      <family val="2"/>
    </font>
    <font>
      <sz val="10"/>
      <name val="MS Sans Serif"/>
      <family val="2"/>
    </font>
    <font>
      <b/>
      <i/>
      <sz val="10"/>
      <name val="Arial"/>
      <family val="2"/>
    </font>
    <font>
      <u/>
      <sz val="10"/>
      <name val="Arial"/>
      <family val="2"/>
    </font>
    <font>
      <b/>
      <sz val="10"/>
      <color rgb="FF008000"/>
      <name val="Arial"/>
      <family val="2"/>
    </font>
    <font>
      <sz val="10"/>
      <color rgb="FFFF0000"/>
      <name val="Arial"/>
      <family val="2"/>
    </font>
    <font>
      <b/>
      <sz val="16"/>
      <color theme="1"/>
      <name val="Calibri"/>
      <family val="2"/>
      <scheme val="minor"/>
    </font>
    <font>
      <b/>
      <sz val="10"/>
      <color rgb="FF0000FF"/>
      <name val="Calibri"/>
      <family val="2"/>
      <scheme val="minor"/>
    </font>
    <font>
      <sz val="10"/>
      <color rgb="FF0000FF"/>
      <name val="Calibri"/>
      <family val="2"/>
      <scheme val="minor"/>
    </font>
    <font>
      <sz val="10"/>
      <color rgb="FF008000"/>
      <name val="Calibri"/>
      <family val="2"/>
      <scheme val="minor"/>
    </font>
    <font>
      <b/>
      <sz val="14"/>
      <color theme="1"/>
      <name val="Calibri"/>
      <family val="2"/>
      <scheme val="minor"/>
    </font>
    <font>
      <b/>
      <sz val="14"/>
      <color rgb="FF008000"/>
      <name val="Calibri"/>
      <family val="2"/>
      <scheme val="minor"/>
    </font>
    <font>
      <sz val="12"/>
      <color theme="1"/>
      <name val="Calibri"/>
      <family val="2"/>
      <scheme val="minor"/>
    </font>
    <font>
      <b/>
      <sz val="11"/>
      <color rgb="FFFF0000"/>
      <name val="Arial"/>
      <family val="2"/>
    </font>
    <font>
      <sz val="11"/>
      <color rgb="FF0000FF"/>
      <name val="Calibri"/>
      <family val="2"/>
      <scheme val="minor"/>
    </font>
    <font>
      <i/>
      <sz val="10"/>
      <name val="Arial"/>
      <family val="2"/>
    </font>
    <font>
      <b/>
      <sz val="16"/>
      <name val="Calibri"/>
      <family val="2"/>
      <scheme val="minor"/>
    </font>
    <font>
      <sz val="14"/>
      <color theme="1"/>
      <name val="Calibri"/>
      <family val="2"/>
      <scheme val="minor"/>
    </font>
    <font>
      <sz val="18"/>
      <color rgb="FF008000"/>
      <name val="Rage Italic"/>
      <family val="4"/>
    </font>
    <font>
      <sz val="14"/>
      <color rgb="FF008000"/>
      <name val="Rage Italic"/>
      <family val="4"/>
    </font>
    <font>
      <sz val="11"/>
      <color rgb="FFFF0000"/>
      <name val="Calibri"/>
      <family val="2"/>
      <scheme val="minor"/>
    </font>
    <font>
      <b/>
      <sz val="12"/>
      <color rgb="FF008000"/>
      <name val="Arial"/>
      <family val="2"/>
    </font>
    <font>
      <b/>
      <sz val="10"/>
      <color rgb="FF008000"/>
      <name val="Calibri"/>
      <family val="2"/>
      <scheme val="minor"/>
    </font>
    <font>
      <b/>
      <sz val="14"/>
      <color rgb="FF0000FF"/>
      <name val="Calibri"/>
      <family val="2"/>
      <scheme val="minor"/>
    </font>
    <font>
      <sz val="12"/>
      <name val="Arial"/>
      <family val="2"/>
    </font>
    <font>
      <sz val="12"/>
      <color rgb="FF008000"/>
      <name val="Arial"/>
      <family val="2"/>
    </font>
    <font>
      <sz val="12"/>
      <color rgb="FF0000FF"/>
      <name val="Arial"/>
      <family val="2"/>
    </font>
    <font>
      <b/>
      <sz val="12"/>
      <color rgb="FF0000FF"/>
      <name val="Arial"/>
      <family val="2"/>
    </font>
    <font>
      <sz val="16"/>
      <name val="Arial"/>
      <family val="2"/>
    </font>
    <font>
      <sz val="14"/>
      <name val="Arial"/>
      <family val="2"/>
    </font>
    <font>
      <b/>
      <sz val="18"/>
      <name val="Arial"/>
      <family val="2"/>
    </font>
    <font>
      <sz val="12"/>
      <color theme="0"/>
      <name val="Calibri"/>
      <family val="2"/>
      <scheme val="minor"/>
    </font>
    <font>
      <b/>
      <sz val="9"/>
      <color indexed="81"/>
      <name val="Tahoma"/>
      <family val="2"/>
    </font>
    <font>
      <b/>
      <sz val="14"/>
      <color theme="0"/>
      <name val="Arial"/>
      <family val="2"/>
    </font>
    <font>
      <b/>
      <sz val="12"/>
      <color rgb="FF008000"/>
      <name val="Calibri"/>
      <family val="2"/>
      <scheme val="minor"/>
    </font>
    <font>
      <b/>
      <sz val="12"/>
      <color rgb="FF0000FF"/>
      <name val="Calibri"/>
      <family val="2"/>
      <scheme val="minor"/>
    </font>
    <font>
      <sz val="9"/>
      <color indexed="81"/>
      <name val="Tahoma"/>
      <family val="2"/>
    </font>
    <font>
      <b/>
      <sz val="10"/>
      <color theme="1"/>
      <name val="Calibri"/>
      <family val="2"/>
      <scheme val="minor"/>
    </font>
    <font>
      <b/>
      <sz val="12"/>
      <color rgb="FFFF0000"/>
      <name val="Arial"/>
      <family val="2"/>
    </font>
    <font>
      <b/>
      <sz val="9"/>
      <color indexed="81"/>
      <name val="Tahoma"/>
      <charset val="1"/>
    </font>
  </fonts>
  <fills count="13">
    <fill>
      <patternFill patternType="none"/>
    </fill>
    <fill>
      <patternFill patternType="gray125"/>
    </fill>
    <fill>
      <patternFill patternType="solid">
        <fgColor indexed="9"/>
        <bgColor indexed="64"/>
      </patternFill>
    </fill>
    <fill>
      <patternFill patternType="solid">
        <fgColor indexed="9"/>
      </patternFill>
    </fill>
    <fill>
      <patternFill patternType="solid">
        <fgColor indexed="65"/>
        <bgColor indexed="8"/>
      </patternFill>
    </fill>
    <fill>
      <patternFill patternType="solid">
        <fgColor theme="0"/>
        <bgColor indexed="64"/>
      </patternFill>
    </fill>
    <fill>
      <patternFill patternType="solid">
        <fgColor theme="0"/>
      </patternFill>
    </fill>
    <fill>
      <patternFill patternType="solid">
        <fgColor theme="0"/>
        <bgColor indexed="8"/>
      </patternFill>
    </fill>
    <fill>
      <patternFill patternType="solid">
        <fgColor theme="0" tint="-0.14999847407452621"/>
        <bgColor indexed="64"/>
      </patternFill>
    </fill>
    <fill>
      <patternFill patternType="solid">
        <fgColor rgb="FFFFFF99"/>
        <bgColor indexed="64"/>
      </patternFill>
    </fill>
    <fill>
      <patternFill patternType="solid">
        <fgColor rgb="FF382E6C"/>
        <bgColor indexed="64"/>
      </patternFill>
    </fill>
    <fill>
      <patternFill patternType="solid">
        <fgColor rgb="FFFFFF00"/>
        <bgColor indexed="64"/>
      </patternFill>
    </fill>
    <fill>
      <patternFill patternType="solid">
        <fgColor theme="7"/>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40" fontId="14" fillId="0" borderId="0" applyFont="0" applyFill="0" applyBorder="0" applyAlignment="0" applyProtection="0"/>
    <xf numFmtId="8" fontId="14" fillId="0" borderId="0" applyFont="0" applyFill="0" applyBorder="0" applyAlignment="0" applyProtection="0"/>
  </cellStyleXfs>
  <cellXfs count="541">
    <xf numFmtId="0" fontId="0" fillId="0" borderId="0" xfId="0"/>
    <xf numFmtId="0" fontId="3" fillId="0" borderId="0" xfId="0" applyFont="1"/>
    <xf numFmtId="0" fontId="3" fillId="0" borderId="0" xfId="0" applyFont="1" applyFill="1" applyBorder="1" applyAlignment="1">
      <alignment horizontal="center"/>
    </xf>
    <xf numFmtId="165" fontId="3" fillId="0" borderId="0" xfId="1" applyNumberFormat="1" applyFont="1" applyFill="1" applyBorder="1"/>
    <xf numFmtId="0" fontId="3" fillId="0" borderId="0" xfId="0" applyFont="1" applyFill="1" applyBorder="1"/>
    <xf numFmtId="0" fontId="4" fillId="0" borderId="0" xfId="0" applyFont="1" applyFill="1" applyBorder="1"/>
    <xf numFmtId="0" fontId="2" fillId="0" borderId="0" xfId="0" applyFont="1" applyFill="1" applyBorder="1" applyAlignment="1">
      <alignment horizontal="center"/>
    </xf>
    <xf numFmtId="0" fontId="2" fillId="0" borderId="0" xfId="0" applyFont="1" applyAlignment="1">
      <alignment wrapText="1"/>
    </xf>
    <xf numFmtId="0" fontId="25" fillId="0" borderId="0" xfId="0" applyFont="1" applyFill="1" applyBorder="1"/>
    <xf numFmtId="0" fontId="2" fillId="0" borderId="0" xfId="0" applyFont="1" applyAlignment="1">
      <alignment horizontal="center" vertical="center"/>
    </xf>
    <xf numFmtId="0" fontId="9" fillId="2" borderId="15" xfId="4" applyFont="1" applyFill="1" applyBorder="1" applyAlignment="1" applyProtection="1"/>
    <xf numFmtId="0" fontId="7" fillId="5" borderId="9" xfId="4" applyFont="1" applyFill="1" applyBorder="1" applyProtection="1"/>
    <xf numFmtId="0" fontId="7" fillId="2" borderId="14" xfId="4" applyFont="1" applyFill="1" applyBorder="1" applyAlignment="1" applyProtection="1"/>
    <xf numFmtId="0" fontId="8" fillId="2" borderId="8" xfId="4" applyFont="1" applyFill="1" applyBorder="1" applyAlignment="1" applyProtection="1"/>
    <xf numFmtId="0" fontId="7" fillId="2" borderId="8" xfId="4" applyFont="1" applyFill="1" applyBorder="1" applyAlignment="1" applyProtection="1">
      <alignment horizontal="centerContinuous"/>
    </xf>
    <xf numFmtId="0" fontId="7" fillId="2" borderId="8" xfId="4" applyFont="1" applyFill="1" applyBorder="1" applyProtection="1"/>
    <xf numFmtId="0" fontId="7" fillId="2" borderId="12" xfId="4" applyFont="1" applyFill="1" applyBorder="1" applyProtection="1"/>
    <xf numFmtId="0" fontId="8" fillId="5" borderId="0" xfId="4" applyFont="1" applyFill="1" applyBorder="1" applyAlignment="1" applyProtection="1">
      <alignment horizontal="right"/>
    </xf>
    <xf numFmtId="0" fontId="8" fillId="5" borderId="0" xfId="4" applyFont="1" applyFill="1" applyBorder="1" applyAlignment="1" applyProtection="1"/>
    <xf numFmtId="0" fontId="7" fillId="5" borderId="0" xfId="4" applyFont="1" applyFill="1" applyBorder="1" applyProtection="1"/>
    <xf numFmtId="0" fontId="7" fillId="5" borderId="14" xfId="4" applyFont="1" applyFill="1" applyBorder="1" applyAlignment="1" applyProtection="1">
      <alignment horizontal="left"/>
    </xf>
    <xf numFmtId="0" fontId="7" fillId="5" borderId="8" xfId="4" applyFont="1" applyFill="1" applyBorder="1" applyAlignment="1" applyProtection="1">
      <alignment horizontal="left"/>
    </xf>
    <xf numFmtId="0" fontId="7" fillId="5" borderId="12" xfId="4" applyFont="1" applyFill="1" applyBorder="1" applyAlignment="1" applyProtection="1">
      <alignment horizontal="left"/>
    </xf>
    <xf numFmtId="0" fontId="15" fillId="3" borderId="15" xfId="4" applyFont="1" applyFill="1" applyBorder="1" applyAlignment="1" applyProtection="1">
      <alignment horizontal="left"/>
    </xf>
    <xf numFmtId="0" fontId="7" fillId="6" borderId="0" xfId="4" applyFont="1" applyFill="1" applyBorder="1" applyProtection="1"/>
    <xf numFmtId="0" fontId="7" fillId="4" borderId="9" xfId="4" applyFont="1" applyFill="1" applyBorder="1" applyAlignment="1" applyProtection="1">
      <alignment horizontal="left" vertical="center" wrapText="1"/>
    </xf>
    <xf numFmtId="0" fontId="7" fillId="2" borderId="13" xfId="4" applyFont="1" applyFill="1" applyBorder="1" applyAlignment="1" applyProtection="1">
      <alignment horizontal="right"/>
    </xf>
    <xf numFmtId="0" fontId="7" fillId="2" borderId="0" xfId="4" quotePrefix="1" applyFont="1" applyFill="1" applyBorder="1" applyProtection="1"/>
    <xf numFmtId="0" fontId="7" fillId="3" borderId="9" xfId="4" applyFont="1" applyFill="1" applyBorder="1" applyProtection="1"/>
    <xf numFmtId="0" fontId="7" fillId="5" borderId="11" xfId="4" applyFont="1" applyFill="1" applyBorder="1" applyProtection="1"/>
    <xf numFmtId="0" fontId="15" fillId="5" borderId="13" xfId="4" applyFont="1" applyFill="1" applyBorder="1" applyProtection="1"/>
    <xf numFmtId="0" fontId="15" fillId="5" borderId="0" xfId="4" applyFont="1" applyFill="1" applyBorder="1" applyProtection="1"/>
    <xf numFmtId="0" fontId="16" fillId="5" borderId="0" xfId="4" applyFont="1" applyFill="1" applyBorder="1" applyProtection="1"/>
    <xf numFmtId="0" fontId="7" fillId="5" borderId="14" xfId="4" applyFont="1" applyFill="1" applyBorder="1" applyProtection="1"/>
    <xf numFmtId="0" fontId="7" fillId="5" borderId="8" xfId="4" applyFont="1" applyFill="1" applyBorder="1" applyProtection="1"/>
    <xf numFmtId="0" fontId="7" fillId="5" borderId="12" xfId="4" applyFont="1" applyFill="1" applyBorder="1" applyProtection="1"/>
    <xf numFmtId="0" fontId="19" fillId="5" borderId="0" xfId="0" applyFont="1" applyFill="1" applyBorder="1"/>
    <xf numFmtId="0" fontId="4" fillId="5" borderId="0" xfId="0" applyFont="1" applyFill="1" applyBorder="1"/>
    <xf numFmtId="0" fontId="3" fillId="5" borderId="0" xfId="0" applyFont="1" applyFill="1" applyBorder="1"/>
    <xf numFmtId="0" fontId="3" fillId="5" borderId="23" xfId="0" applyFont="1" applyFill="1" applyBorder="1" applyAlignment="1">
      <alignment horizontal="left" indent="1"/>
    </xf>
    <xf numFmtId="0" fontId="3" fillId="5" borderId="20" xfId="0" applyFont="1" applyFill="1" applyBorder="1" applyAlignment="1">
      <alignment horizontal="left" indent="1"/>
    </xf>
    <xf numFmtId="0" fontId="2" fillId="5" borderId="2" xfId="0" applyFont="1" applyFill="1" applyBorder="1" applyAlignment="1">
      <alignment horizontal="center" wrapText="1"/>
    </xf>
    <xf numFmtId="164" fontId="21" fillId="5" borderId="2" xfId="2" applyNumberFormat="1" applyFont="1" applyFill="1" applyBorder="1"/>
    <xf numFmtId="0" fontId="0" fillId="0" borderId="0" xfId="0" applyProtection="1"/>
    <xf numFmtId="0" fontId="3" fillId="0" borderId="0" xfId="0" applyFont="1" applyProtection="1"/>
    <xf numFmtId="0" fontId="3" fillId="0" borderId="0" xfId="0" applyFont="1" applyAlignment="1" applyProtection="1">
      <alignment horizontal="center"/>
    </xf>
    <xf numFmtId="164" fontId="21" fillId="0" borderId="0" xfId="0" applyNumberFormat="1" applyFont="1" applyProtection="1"/>
    <xf numFmtId="165" fontId="21" fillId="0" borderId="0" xfId="1" applyNumberFormat="1" applyFont="1" applyProtection="1"/>
    <xf numFmtId="0" fontId="3" fillId="0" borderId="0" xfId="0" applyFont="1" applyFill="1" applyProtection="1"/>
    <xf numFmtId="0" fontId="21" fillId="0" borderId="0" xfId="0" applyFont="1" applyFill="1" applyBorder="1" applyAlignment="1" applyProtection="1">
      <alignment vertical="center"/>
    </xf>
    <xf numFmtId="164" fontId="21" fillId="0" borderId="0" xfId="2" applyNumberFormat="1" applyFont="1" applyProtection="1"/>
    <xf numFmtId="0" fontId="0" fillId="0" borderId="0" xfId="0" applyFill="1" applyProtection="1"/>
    <xf numFmtId="0" fontId="0" fillId="0" borderId="0" xfId="0" applyFont="1" applyFill="1" applyBorder="1" applyProtection="1"/>
    <xf numFmtId="164" fontId="22" fillId="0" borderId="0" xfId="2" applyNumberFormat="1" applyFont="1" applyFill="1" applyBorder="1" applyProtection="1"/>
    <xf numFmtId="0" fontId="27" fillId="0" borderId="0" xfId="0" applyFont="1" applyProtection="1"/>
    <xf numFmtId="164" fontId="21" fillId="0" borderId="0" xfId="2" applyNumberFormat="1" applyFont="1" applyFill="1" applyBorder="1" applyProtection="1"/>
    <xf numFmtId="164" fontId="27" fillId="0" borderId="0" xfId="2" applyNumberFormat="1" applyFont="1" applyProtection="1"/>
    <xf numFmtId="164" fontId="27" fillId="0" borderId="0" xfId="2" applyNumberFormat="1" applyFont="1" applyFill="1" applyProtection="1"/>
    <xf numFmtId="0" fontId="0" fillId="0" borderId="0" xfId="0" applyFont="1" applyBorder="1" applyProtection="1"/>
    <xf numFmtId="0" fontId="29" fillId="5" borderId="0" xfId="0" applyFont="1" applyFill="1" applyBorder="1"/>
    <xf numFmtId="0" fontId="23" fillId="5" borderId="0" xfId="0" applyFont="1" applyFill="1"/>
    <xf numFmtId="0" fontId="30" fillId="5" borderId="0" xfId="0" applyFont="1" applyFill="1"/>
    <xf numFmtId="0" fontId="23" fillId="5" borderId="0" xfId="0" applyFont="1" applyFill="1" applyAlignment="1">
      <alignment horizontal="right"/>
    </xf>
    <xf numFmtId="0" fontId="30" fillId="0" borderId="0" xfId="0" applyFont="1"/>
    <xf numFmtId="0" fontId="2" fillId="5" borderId="13" xfId="0" applyFont="1" applyFill="1" applyBorder="1" applyAlignment="1">
      <alignment horizontal="center" vertical="center"/>
    </xf>
    <xf numFmtId="0" fontId="2" fillId="5" borderId="32" xfId="0" applyFont="1" applyFill="1" applyBorder="1" applyAlignment="1">
      <alignment horizontal="center" wrapText="1"/>
    </xf>
    <xf numFmtId="0" fontId="2" fillId="5" borderId="17" xfId="0" applyFont="1" applyFill="1" applyBorder="1" applyAlignment="1">
      <alignment horizontal="center" wrapText="1"/>
    </xf>
    <xf numFmtId="0" fontId="3" fillId="5" borderId="32" xfId="0" applyFont="1" applyFill="1" applyBorder="1" applyAlignment="1">
      <alignment horizontal="center"/>
    </xf>
    <xf numFmtId="164" fontId="21" fillId="5" borderId="17" xfId="2" applyNumberFormat="1" applyFont="1" applyFill="1" applyBorder="1"/>
    <xf numFmtId="0" fontId="3" fillId="5" borderId="26" xfId="0" applyFont="1" applyFill="1" applyBorder="1" applyAlignment="1">
      <alignment horizontal="center"/>
    </xf>
    <xf numFmtId="0" fontId="3" fillId="0" borderId="0" xfId="0" applyFont="1" applyAlignment="1" applyProtection="1">
      <alignment horizontal="center" wrapText="1"/>
    </xf>
    <xf numFmtId="0" fontId="21" fillId="0" borderId="0" xfId="0" applyFont="1" applyProtection="1"/>
    <xf numFmtId="0" fontId="0" fillId="0" borderId="0" xfId="0" applyAlignment="1" applyProtection="1">
      <alignment horizontal="center" wrapText="1"/>
    </xf>
    <xf numFmtId="0" fontId="27" fillId="0" borderId="0" xfId="0" applyFont="1" applyAlignment="1" applyProtection="1">
      <alignment horizontal="center"/>
    </xf>
    <xf numFmtId="0" fontId="21" fillId="0" borderId="0" xfId="0" applyFont="1" applyAlignment="1" applyProtection="1">
      <alignment horizontal="center"/>
    </xf>
    <xf numFmtId="0" fontId="21" fillId="0" borderId="0" xfId="0" applyFont="1" applyFill="1" applyProtection="1"/>
    <xf numFmtId="165" fontId="27" fillId="0" borderId="0" xfId="1" applyNumberFormat="1" applyFont="1" applyProtection="1"/>
    <xf numFmtId="0" fontId="7" fillId="9" borderId="13" xfId="4" applyFont="1" applyFill="1" applyBorder="1" applyAlignment="1" applyProtection="1">
      <alignment horizontal="right"/>
    </xf>
    <xf numFmtId="0" fontId="7" fillId="0" borderId="0" xfId="4" applyFont="1" applyProtection="1"/>
    <xf numFmtId="0" fontId="7" fillId="0" borderId="0" xfId="4" applyFont="1" applyAlignment="1" applyProtection="1">
      <alignment horizontal="center" wrapText="1"/>
    </xf>
    <xf numFmtId="0" fontId="7" fillId="0" borderId="0" xfId="4" applyFont="1" applyAlignment="1" applyProtection="1"/>
    <xf numFmtId="0" fontId="13" fillId="0" borderId="0" xfId="4" applyFont="1" applyProtection="1"/>
    <xf numFmtId="0" fontId="2" fillId="5" borderId="29" xfId="0" applyFont="1" applyFill="1" applyBorder="1" applyAlignment="1">
      <alignment horizontal="center" wrapText="1"/>
    </xf>
    <xf numFmtId="0" fontId="2" fillId="5" borderId="33" xfId="0" applyFont="1" applyFill="1" applyBorder="1" applyAlignment="1">
      <alignment horizontal="center" wrapText="1"/>
    </xf>
    <xf numFmtId="164" fontId="0" fillId="0" borderId="0" xfId="0" applyNumberFormat="1" applyProtection="1"/>
    <xf numFmtId="0" fontId="2" fillId="5"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0" xfId="0" applyFont="1" applyFill="1" applyBorder="1" applyAlignment="1">
      <alignment horizontal="center" wrapText="1"/>
    </xf>
    <xf numFmtId="0" fontId="26" fillId="5" borderId="0" xfId="4" applyFont="1" applyFill="1" applyBorder="1" applyAlignment="1" applyProtection="1">
      <alignment horizontal="center" vertical="center" wrapText="1"/>
    </xf>
    <xf numFmtId="0" fontId="7" fillId="5" borderId="0" xfId="4" applyFont="1" applyFill="1" applyBorder="1" applyAlignment="1" applyProtection="1">
      <alignment horizontal="left" vertical="top" wrapText="1" indent="1"/>
    </xf>
    <xf numFmtId="0" fontId="7" fillId="5" borderId="11" xfId="4" applyFont="1" applyFill="1" applyBorder="1" applyAlignment="1" applyProtection="1">
      <alignment horizontal="left" vertical="top" wrapText="1" indent="1"/>
    </xf>
    <xf numFmtId="0" fontId="0" fillId="0" borderId="0" xfId="0" quotePrefix="1" applyProtection="1"/>
    <xf numFmtId="0" fontId="15" fillId="6" borderId="15" xfId="4" applyFont="1" applyFill="1" applyBorder="1" applyAlignment="1" applyProtection="1">
      <alignment horizontal="left"/>
    </xf>
    <xf numFmtId="0" fontId="7" fillId="6" borderId="9" xfId="4" applyFont="1" applyFill="1" applyBorder="1" applyAlignment="1" applyProtection="1"/>
    <xf numFmtId="0" fontId="7" fillId="7" borderId="10" xfId="4" applyFont="1" applyFill="1" applyBorder="1" applyAlignment="1" applyProtection="1"/>
    <xf numFmtId="0" fontId="15" fillId="6" borderId="9" xfId="4" applyFont="1" applyFill="1" applyBorder="1" applyAlignment="1" applyProtection="1">
      <alignment horizontal="left"/>
    </xf>
    <xf numFmtId="0" fontId="7" fillId="7" borderId="9" xfId="4" applyFont="1" applyFill="1" applyBorder="1" applyAlignment="1" applyProtection="1"/>
    <xf numFmtId="0" fontId="7" fillId="5" borderId="9" xfId="4" applyFont="1" applyFill="1" applyBorder="1" applyAlignment="1" applyProtection="1"/>
    <xf numFmtId="0" fontId="7" fillId="5" borderId="10" xfId="4" applyFont="1" applyFill="1" applyBorder="1" applyAlignment="1" applyProtection="1"/>
    <xf numFmtId="0" fontId="15" fillId="6" borderId="13" xfId="4" applyFont="1" applyFill="1" applyBorder="1" applyAlignment="1" applyProtection="1">
      <alignment horizontal="left"/>
    </xf>
    <xf numFmtId="0" fontId="7" fillId="6" borderId="0" xfId="4" applyFont="1" applyFill="1" applyBorder="1" applyAlignment="1" applyProtection="1"/>
    <xf numFmtId="0" fontId="8" fillId="7" borderId="0" xfId="4" applyFont="1" applyFill="1" applyBorder="1" applyAlignment="1" applyProtection="1">
      <alignment horizontal="center"/>
    </xf>
    <xf numFmtId="0" fontId="7" fillId="5" borderId="11" xfId="4" applyFont="1" applyFill="1" applyBorder="1" applyAlignment="1" applyProtection="1"/>
    <xf numFmtId="0" fontId="7" fillId="7" borderId="0" xfId="4" quotePrefix="1" applyFont="1" applyFill="1" applyBorder="1" applyAlignment="1" applyProtection="1">
      <alignment horizontal="left" indent="1"/>
    </xf>
    <xf numFmtId="0" fontId="7" fillId="5" borderId="0" xfId="4" applyFont="1" applyFill="1" applyBorder="1" applyAlignment="1" applyProtection="1"/>
    <xf numFmtId="0" fontId="7" fillId="7" borderId="0" xfId="4" applyFont="1" applyFill="1" applyBorder="1" applyAlignment="1" applyProtection="1"/>
    <xf numFmtId="0" fontId="15" fillId="6" borderId="0" xfId="4" applyFont="1" applyFill="1" applyBorder="1" applyAlignment="1" applyProtection="1">
      <alignment horizontal="left"/>
    </xf>
    <xf numFmtId="0" fontId="7" fillId="5" borderId="0" xfId="4" quotePrefix="1" applyFont="1" applyFill="1" applyBorder="1" applyAlignment="1" applyProtection="1">
      <alignment horizontal="left" indent="1"/>
    </xf>
    <xf numFmtId="0" fontId="7" fillId="7" borderId="0" xfId="4" applyFont="1" applyFill="1" applyBorder="1" applyAlignment="1" applyProtection="1">
      <alignment vertical="center"/>
    </xf>
    <xf numFmtId="0" fontId="7" fillId="7" borderId="0" xfId="4" applyFont="1" applyFill="1" applyBorder="1" applyAlignment="1" applyProtection="1">
      <alignment horizontal="left" indent="2"/>
    </xf>
    <xf numFmtId="0" fontId="7" fillId="7" borderId="11" xfId="4" applyFont="1" applyFill="1" applyBorder="1" applyProtection="1"/>
    <xf numFmtId="0" fontId="7" fillId="7" borderId="0" xfId="4" applyFont="1" applyFill="1" applyBorder="1" applyAlignment="1" applyProtection="1">
      <alignment horizontal="left" indent="1"/>
    </xf>
    <xf numFmtId="0" fontId="7" fillId="7" borderId="0" xfId="4" applyFont="1" applyFill="1" applyBorder="1" applyAlignment="1" applyProtection="1">
      <alignment horizontal="left" indent="3"/>
    </xf>
    <xf numFmtId="0" fontId="7" fillId="7" borderId="11" xfId="4" applyFont="1" applyFill="1" applyBorder="1" applyAlignment="1" applyProtection="1"/>
    <xf numFmtId="0" fontId="7" fillId="5" borderId="9" xfId="4" applyFont="1" applyFill="1" applyBorder="1" applyAlignment="1" applyProtection="1">
      <alignment horizontal="left" vertical="top" wrapText="1" indent="1"/>
    </xf>
    <xf numFmtId="0" fontId="7" fillId="7" borderId="9" xfId="4" applyFont="1" applyFill="1" applyBorder="1" applyProtection="1"/>
    <xf numFmtId="0" fontId="7" fillId="7" borderId="9" xfId="4" applyFont="1" applyFill="1" applyBorder="1" applyAlignment="1" applyProtection="1">
      <alignment vertical="top"/>
    </xf>
    <xf numFmtId="0" fontId="7" fillId="7" borderId="9" xfId="4" applyFont="1" applyFill="1" applyBorder="1" applyAlignment="1" applyProtection="1">
      <alignment horizontal="left" indent="2"/>
    </xf>
    <xf numFmtId="0" fontId="7" fillId="6" borderId="0" xfId="4" applyFont="1" applyFill="1" applyBorder="1" applyAlignment="1" applyProtection="1">
      <alignment horizontal="left" indent="1"/>
    </xf>
    <xf numFmtId="0" fontId="7" fillId="7" borderId="0" xfId="4" applyFont="1" applyFill="1" applyBorder="1" applyAlignment="1" applyProtection="1">
      <alignment vertical="top"/>
    </xf>
    <xf numFmtId="0" fontId="15" fillId="6" borderId="14" xfId="4" applyFont="1" applyFill="1" applyBorder="1" applyProtection="1"/>
    <xf numFmtId="0" fontId="7" fillId="6" borderId="8" xfId="4" applyFont="1" applyFill="1" applyBorder="1" applyProtection="1"/>
    <xf numFmtId="0" fontId="7" fillId="5" borderId="14" xfId="4" applyFont="1" applyFill="1" applyBorder="1" applyAlignment="1" applyProtection="1">
      <alignment horizontal="right"/>
    </xf>
    <xf numFmtId="0" fontId="7" fillId="5" borderId="8" xfId="4" quotePrefix="1" applyFont="1" applyFill="1" applyBorder="1" applyProtection="1"/>
    <xf numFmtId="0" fontId="28" fillId="7" borderId="0" xfId="4" applyFont="1" applyFill="1" applyBorder="1" applyAlignment="1" applyProtection="1">
      <alignment vertical="center" wrapText="1"/>
    </xf>
    <xf numFmtId="0" fontId="28" fillId="7" borderId="11" xfId="4" applyFont="1" applyFill="1" applyBorder="1" applyAlignment="1" applyProtection="1">
      <alignment vertical="center" wrapText="1"/>
    </xf>
    <xf numFmtId="0" fontId="7" fillId="0" borderId="11" xfId="4" applyFont="1" applyBorder="1" applyProtection="1"/>
    <xf numFmtId="0" fontId="28" fillId="7" borderId="9" xfId="4" applyFont="1" applyFill="1" applyBorder="1" applyAlignment="1" applyProtection="1">
      <alignment vertical="center" wrapText="1"/>
    </xf>
    <xf numFmtId="0" fontId="28" fillId="7" borderId="10" xfId="4" applyFont="1" applyFill="1" applyBorder="1" applyAlignment="1" applyProtection="1">
      <alignment vertical="center" wrapText="1"/>
    </xf>
    <xf numFmtId="0" fontId="15" fillId="6" borderId="15" xfId="4" applyFont="1" applyFill="1" applyBorder="1" applyProtection="1"/>
    <xf numFmtId="0" fontId="7" fillId="5" borderId="0" xfId="4" applyFont="1" applyFill="1" applyBorder="1" applyAlignment="1" applyProtection="1">
      <alignment horizontal="center"/>
    </xf>
    <xf numFmtId="14" fontId="7" fillId="5" borderId="0" xfId="4" applyNumberFormat="1" applyFont="1" applyFill="1" applyBorder="1" applyAlignment="1" applyProtection="1">
      <alignment horizontal="left" wrapText="1" indent="1"/>
    </xf>
    <xf numFmtId="0" fontId="7" fillId="5" borderId="10" xfId="4" applyFont="1" applyFill="1" applyBorder="1" applyProtection="1"/>
    <xf numFmtId="0" fontId="8" fillId="5" borderId="13" xfId="4" applyFont="1" applyFill="1" applyBorder="1" applyAlignment="1" applyProtection="1">
      <alignment horizontal="right"/>
    </xf>
    <xf numFmtId="0" fontId="7" fillId="7" borderId="14" xfId="4" applyFont="1" applyFill="1" applyBorder="1" applyAlignment="1" applyProtection="1">
      <alignment horizontal="left" indent="1"/>
    </xf>
    <xf numFmtId="0" fontId="7" fillId="7" borderId="8" xfId="4" applyFont="1" applyFill="1" applyBorder="1" applyAlignment="1" applyProtection="1">
      <alignment vertical="top"/>
    </xf>
    <xf numFmtId="0" fontId="28" fillId="7" borderId="8" xfId="4" applyFont="1" applyFill="1" applyBorder="1" applyAlignment="1" applyProtection="1">
      <alignment vertical="center" wrapText="1"/>
    </xf>
    <xf numFmtId="0" fontId="28" fillId="7" borderId="12" xfId="4" applyFont="1" applyFill="1" applyBorder="1" applyAlignment="1" applyProtection="1">
      <alignment vertical="center" wrapText="1"/>
    </xf>
    <xf numFmtId="0" fontId="7" fillId="7" borderId="9" xfId="4" applyFont="1" applyFill="1" applyBorder="1" applyAlignment="1" applyProtection="1">
      <alignment vertical="center"/>
    </xf>
    <xf numFmtId="0" fontId="15" fillId="5" borderId="13" xfId="4" applyFont="1" applyFill="1" applyBorder="1" applyAlignment="1" applyProtection="1">
      <alignment vertical="center"/>
    </xf>
    <xf numFmtId="0" fontId="15" fillId="5" borderId="0" xfId="4" applyFont="1" applyFill="1" applyBorder="1" applyAlignment="1" applyProtection="1">
      <alignment vertical="center"/>
    </xf>
    <xf numFmtId="0" fontId="15" fillId="5" borderId="11" xfId="4" applyFont="1" applyFill="1" applyBorder="1" applyAlignment="1" applyProtection="1">
      <alignment vertical="center"/>
    </xf>
    <xf numFmtId="0" fontId="8" fillId="0" borderId="0" xfId="4" applyFont="1" applyAlignment="1" applyProtection="1">
      <alignment vertical="center"/>
    </xf>
    <xf numFmtId="0" fontId="7" fillId="0" borderId="0" xfId="4" applyFont="1" applyAlignment="1" applyProtection="1">
      <alignment vertical="center"/>
    </xf>
    <xf numFmtId="0" fontId="8" fillId="3" borderId="14" xfId="4" applyFont="1" applyFill="1" applyBorder="1" applyAlignment="1" applyProtection="1">
      <alignment horizontal="left" vertical="center"/>
    </xf>
    <xf numFmtId="0" fontId="8" fillId="3" borderId="8" xfId="4" applyFont="1" applyFill="1" applyBorder="1" applyAlignment="1" applyProtection="1">
      <alignment horizontal="left" vertical="center"/>
    </xf>
    <xf numFmtId="0" fontId="33" fillId="0" borderId="0" xfId="0" applyFont="1" applyProtection="1"/>
    <xf numFmtId="0" fontId="7" fillId="0" borderId="13" xfId="4" applyFont="1" applyBorder="1" applyProtection="1"/>
    <xf numFmtId="0" fontId="9" fillId="5" borderId="15" xfId="4" applyFont="1" applyFill="1" applyBorder="1" applyAlignment="1" applyProtection="1">
      <alignment horizontal="center" vertical="center"/>
    </xf>
    <xf numFmtId="0" fontId="9" fillId="5" borderId="9" xfId="4" applyFont="1" applyFill="1" applyBorder="1" applyAlignment="1" applyProtection="1">
      <alignment horizontal="center" vertical="center"/>
    </xf>
    <xf numFmtId="0" fontId="9" fillId="5" borderId="10" xfId="4" applyFont="1" applyFill="1" applyBorder="1" applyAlignment="1" applyProtection="1">
      <alignment horizontal="center" vertical="center"/>
    </xf>
    <xf numFmtId="0" fontId="13" fillId="5" borderId="11" xfId="4" applyFont="1" applyFill="1" applyBorder="1" applyProtection="1"/>
    <xf numFmtId="0" fontId="15" fillId="5" borderId="15" xfId="4" applyFont="1" applyFill="1" applyBorder="1" applyAlignment="1" applyProtection="1">
      <alignment vertical="center"/>
    </xf>
    <xf numFmtId="0" fontId="15" fillId="5" borderId="13" xfId="4" applyFont="1" applyFill="1" applyBorder="1" applyAlignment="1" applyProtection="1">
      <alignment horizontal="left" vertical="center" indent="1"/>
    </xf>
    <xf numFmtId="0" fontId="7" fillId="5" borderId="13" xfId="4" applyFont="1" applyFill="1" applyBorder="1" applyAlignment="1" applyProtection="1">
      <alignment horizontal="left" vertical="center" indent="2"/>
    </xf>
    <xf numFmtId="0" fontId="7" fillId="5" borderId="13" xfId="4" applyFont="1" applyFill="1" applyBorder="1" applyAlignment="1" applyProtection="1">
      <alignment horizontal="left" indent="2"/>
    </xf>
    <xf numFmtId="0" fontId="15" fillId="5" borderId="13" xfId="4" applyFont="1" applyFill="1" applyBorder="1" applyAlignment="1" applyProtection="1">
      <alignment horizontal="left" indent="1"/>
    </xf>
    <xf numFmtId="14" fontId="17" fillId="0" borderId="11" xfId="4" applyNumberFormat="1" applyFont="1" applyFill="1" applyBorder="1" applyAlignment="1" applyProtection="1"/>
    <xf numFmtId="165" fontId="22" fillId="0" borderId="0" xfId="1" applyNumberFormat="1" applyFont="1" applyFill="1" applyBorder="1"/>
    <xf numFmtId="165" fontId="3" fillId="0" borderId="0" xfId="0" applyNumberFormat="1" applyFont="1" applyFill="1" applyBorder="1"/>
    <xf numFmtId="9" fontId="3" fillId="0" borderId="0" xfId="3" applyNumberFormat="1" applyFont="1" applyFill="1" applyBorder="1"/>
    <xf numFmtId="0" fontId="3" fillId="0" borderId="32" xfId="0" applyFont="1" applyFill="1" applyBorder="1" applyAlignment="1">
      <alignment horizontal="center"/>
    </xf>
    <xf numFmtId="165" fontId="21" fillId="0" borderId="0" xfId="1" applyNumberFormat="1" applyFont="1" applyFill="1" applyBorder="1"/>
    <xf numFmtId="0" fontId="7" fillId="5" borderId="13" xfId="4" applyFont="1" applyFill="1" applyBorder="1" applyAlignment="1" applyProtection="1">
      <alignment horizontal="right" vertical="top"/>
    </xf>
    <xf numFmtId="0" fontId="7" fillId="5" borderId="0" xfId="4" quotePrefix="1" applyFont="1" applyFill="1" applyBorder="1" applyAlignment="1" applyProtection="1">
      <alignment vertical="top"/>
    </xf>
    <xf numFmtId="0" fontId="7" fillId="5" borderId="0" xfId="4" applyFont="1" applyFill="1" applyBorder="1" applyAlignment="1" applyProtection="1">
      <alignment vertical="top"/>
    </xf>
    <xf numFmtId="0" fontId="8" fillId="3" borderId="0" xfId="4" applyFont="1" applyFill="1" applyBorder="1" applyAlignment="1" applyProtection="1">
      <alignment horizontal="center" wrapText="1"/>
    </xf>
    <xf numFmtId="0" fontId="8" fillId="5" borderId="0" xfId="4" applyFont="1" applyFill="1" applyBorder="1" applyAlignment="1" applyProtection="1">
      <alignment horizontal="center" wrapText="1"/>
    </xf>
    <xf numFmtId="0" fontId="37" fillId="3" borderId="20" xfId="4" applyFont="1" applyFill="1" applyBorder="1" applyAlignment="1" applyProtection="1">
      <alignment horizontal="center"/>
    </xf>
    <xf numFmtId="0" fontId="38" fillId="9" borderId="20" xfId="4" applyFont="1" applyFill="1" applyBorder="1" applyAlignment="1" applyProtection="1">
      <alignment horizontal="center"/>
      <protection locked="0"/>
    </xf>
    <xf numFmtId="0" fontId="38" fillId="9" borderId="19" xfId="4" applyFont="1" applyFill="1" applyBorder="1" applyAlignment="1" applyProtection="1">
      <alignment horizontal="center"/>
      <protection locked="0"/>
    </xf>
    <xf numFmtId="164" fontId="39" fillId="3" borderId="19" xfId="2" applyNumberFormat="1" applyFont="1" applyFill="1" applyBorder="1" applyAlignment="1" applyProtection="1"/>
    <xf numFmtId="164" fontId="38" fillId="9" borderId="20" xfId="2" applyNumberFormat="1" applyFont="1" applyFill="1" applyBorder="1" applyAlignment="1" applyProtection="1">
      <alignment horizontal="left"/>
      <protection locked="0"/>
    </xf>
    <xf numFmtId="164" fontId="39" fillId="3" borderId="39" xfId="4" applyNumberFormat="1" applyFont="1" applyFill="1" applyBorder="1" applyAlignment="1" applyProtection="1">
      <alignment horizontal="left"/>
    </xf>
    <xf numFmtId="0" fontId="37" fillId="3" borderId="2" xfId="4" applyFont="1" applyFill="1" applyBorder="1" applyAlignment="1" applyProtection="1">
      <alignment horizontal="center"/>
    </xf>
    <xf numFmtId="0" fontId="38" fillId="9" borderId="2" xfId="4" applyFont="1" applyFill="1" applyBorder="1" applyAlignment="1" applyProtection="1">
      <alignment horizontal="center"/>
      <protection locked="0"/>
    </xf>
    <xf numFmtId="165" fontId="39" fillId="3" borderId="2" xfId="1" applyNumberFormat="1" applyFont="1" applyFill="1" applyBorder="1" applyAlignment="1" applyProtection="1"/>
    <xf numFmtId="165" fontId="38" fillId="9" borderId="2" xfId="1" applyNumberFormat="1" applyFont="1" applyFill="1" applyBorder="1" applyAlignment="1" applyProtection="1">
      <alignment horizontal="left"/>
      <protection locked="0"/>
    </xf>
    <xf numFmtId="165" fontId="39" fillId="3" borderId="17" xfId="1" applyNumberFormat="1" applyFont="1" applyFill="1" applyBorder="1" applyAlignment="1" applyProtection="1">
      <alignment horizontal="left"/>
    </xf>
    <xf numFmtId="0" fontId="38" fillId="9" borderId="6" xfId="4" applyFont="1" applyFill="1" applyBorder="1" applyAlignment="1" applyProtection="1">
      <alignment horizontal="center"/>
      <protection locked="0"/>
    </xf>
    <xf numFmtId="164" fontId="40" fillId="3" borderId="23" xfId="4" applyNumberFormat="1" applyFont="1" applyFill="1" applyBorder="1" applyAlignment="1" applyProtection="1">
      <alignment horizontal="center" vertical="center"/>
    </xf>
    <xf numFmtId="164" fontId="40" fillId="3" borderId="24" xfId="4" applyNumberFormat="1" applyFont="1" applyFill="1" applyBorder="1" applyAlignment="1" applyProtection="1">
      <alignment horizontal="left" vertical="center"/>
    </xf>
    <xf numFmtId="0" fontId="11" fillId="3" borderId="14" xfId="4" applyFont="1" applyFill="1" applyBorder="1" applyAlignment="1" applyProtection="1">
      <alignment horizontal="left" vertical="center"/>
    </xf>
    <xf numFmtId="0" fontId="11" fillId="3" borderId="8" xfId="4" applyFont="1" applyFill="1" applyBorder="1" applyAlignment="1" applyProtection="1">
      <alignment horizontal="left" vertical="center"/>
    </xf>
    <xf numFmtId="0" fontId="11" fillId="3" borderId="8" xfId="4" applyFont="1" applyFill="1" applyBorder="1" applyAlignment="1" applyProtection="1">
      <alignment horizontal="right" vertical="center"/>
    </xf>
    <xf numFmtId="164" fontId="40" fillId="3" borderId="22" xfId="2" applyNumberFormat="1" applyFont="1" applyFill="1" applyBorder="1" applyAlignment="1" applyProtection="1">
      <alignment horizontal="left" vertical="center"/>
    </xf>
    <xf numFmtId="164" fontId="40" fillId="3" borderId="50" xfId="2" applyNumberFormat="1" applyFont="1" applyFill="1" applyBorder="1" applyAlignment="1" applyProtection="1">
      <alignment horizontal="left" vertical="center"/>
    </xf>
    <xf numFmtId="164" fontId="39" fillId="7" borderId="38" xfId="4" applyNumberFormat="1" applyFont="1" applyFill="1" applyBorder="1" applyProtection="1"/>
    <xf numFmtId="164" fontId="39" fillId="7" borderId="20" xfId="4" applyNumberFormat="1" applyFont="1" applyFill="1" applyBorder="1" applyProtection="1"/>
    <xf numFmtId="164" fontId="39" fillId="7" borderId="39" xfId="4" applyNumberFormat="1" applyFont="1" applyFill="1" applyBorder="1" applyProtection="1"/>
    <xf numFmtId="165" fontId="39" fillId="7" borderId="32" xfId="1" applyNumberFormat="1" applyFont="1" applyFill="1" applyBorder="1" applyProtection="1"/>
    <xf numFmtId="165" fontId="39" fillId="7" borderId="2" xfId="1" applyNumberFormat="1" applyFont="1" applyFill="1" applyBorder="1" applyProtection="1"/>
    <xf numFmtId="165" fontId="39" fillId="7" borderId="17" xfId="1" applyNumberFormat="1" applyFont="1" applyFill="1" applyBorder="1" applyProtection="1"/>
    <xf numFmtId="165" fontId="39" fillId="5" borderId="32" xfId="1" applyNumberFormat="1" applyFont="1" applyFill="1" applyBorder="1" applyProtection="1"/>
    <xf numFmtId="165" fontId="39" fillId="5" borderId="32" xfId="1" applyNumberFormat="1" applyFont="1" applyFill="1" applyBorder="1" applyAlignment="1" applyProtection="1">
      <alignment horizontal="left"/>
    </xf>
    <xf numFmtId="0" fontId="38" fillId="9" borderId="37" xfId="4" applyFont="1" applyFill="1" applyBorder="1" applyAlignment="1" applyProtection="1">
      <alignment horizontal="center"/>
      <protection locked="0"/>
    </xf>
    <xf numFmtId="165" fontId="39" fillId="3" borderId="37" xfId="1" applyNumberFormat="1" applyFont="1" applyFill="1" applyBorder="1" applyAlignment="1" applyProtection="1"/>
    <xf numFmtId="0" fontId="11" fillId="0" borderId="8" xfId="4" applyFont="1" applyBorder="1" applyAlignment="1" applyProtection="1">
      <alignment vertical="center"/>
    </xf>
    <xf numFmtId="0" fontId="37" fillId="0" borderId="20" xfId="4" applyFont="1" applyFill="1" applyBorder="1" applyAlignment="1" applyProtection="1">
      <alignment horizontal="center"/>
      <protection locked="0"/>
    </xf>
    <xf numFmtId="0" fontId="37" fillId="0" borderId="39" xfId="4" applyFont="1" applyFill="1" applyBorder="1" applyAlignment="1" applyProtection="1">
      <alignment horizontal="center"/>
      <protection locked="0"/>
    </xf>
    <xf numFmtId="0" fontId="37" fillId="6" borderId="13" xfId="4" applyFont="1" applyFill="1" applyBorder="1" applyAlignment="1" applyProtection="1">
      <alignment horizontal="left" indent="1"/>
    </xf>
    <xf numFmtId="0" fontId="37" fillId="6" borderId="0" xfId="4" applyFont="1" applyFill="1" applyBorder="1" applyProtection="1"/>
    <xf numFmtId="0" fontId="11" fillId="5" borderId="13" xfId="4" applyFont="1" applyFill="1" applyBorder="1" applyProtection="1"/>
    <xf numFmtId="0" fontId="11" fillId="6" borderId="0" xfId="4" applyFont="1" applyFill="1" applyBorder="1" applyProtection="1"/>
    <xf numFmtId="0" fontId="11" fillId="6" borderId="0" xfId="4" applyFont="1" applyFill="1" applyBorder="1" applyAlignment="1" applyProtection="1">
      <alignment horizontal="right" indent="1"/>
    </xf>
    <xf numFmtId="165" fontId="39" fillId="5" borderId="40" xfId="1" applyNumberFormat="1" applyFont="1" applyFill="1" applyBorder="1" applyAlignment="1" applyProtection="1">
      <alignment horizontal="left"/>
    </xf>
    <xf numFmtId="165" fontId="39" fillId="7" borderId="41" xfId="1" applyNumberFormat="1" applyFont="1" applyFill="1" applyBorder="1" applyProtection="1"/>
    <xf numFmtId="164" fontId="40" fillId="3" borderId="43" xfId="2" applyNumberFormat="1" applyFont="1" applyFill="1" applyBorder="1" applyAlignment="1" applyProtection="1">
      <alignment vertical="center"/>
    </xf>
    <xf numFmtId="0" fontId="37" fillId="0" borderId="20" xfId="4" applyFont="1" applyFill="1" applyBorder="1" applyAlignment="1" applyProtection="1">
      <alignment horizontal="center"/>
    </xf>
    <xf numFmtId="164" fontId="39" fillId="3" borderId="20" xfId="2" applyNumberFormat="1" applyFont="1" applyFill="1" applyBorder="1" applyAlignment="1" applyProtection="1"/>
    <xf numFmtId="164" fontId="37" fillId="0" borderId="20" xfId="2" applyNumberFormat="1" applyFont="1" applyFill="1" applyBorder="1" applyAlignment="1" applyProtection="1">
      <alignment horizontal="center"/>
    </xf>
    <xf numFmtId="165" fontId="40" fillId="3" borderId="46" xfId="1" applyNumberFormat="1" applyFont="1" applyFill="1" applyBorder="1" applyAlignment="1" applyProtection="1">
      <alignment vertical="center"/>
    </xf>
    <xf numFmtId="0" fontId="37" fillId="0" borderId="2" xfId="4" applyFont="1" applyFill="1" applyBorder="1" applyAlignment="1" applyProtection="1">
      <alignment horizontal="center"/>
    </xf>
    <xf numFmtId="165" fontId="37" fillId="0" borderId="2" xfId="1" applyNumberFormat="1" applyFont="1" applyFill="1" applyBorder="1" applyAlignment="1" applyProtection="1">
      <alignment horizontal="center"/>
    </xf>
    <xf numFmtId="165" fontId="11" fillId="3" borderId="46" xfId="1" applyNumberFormat="1" applyFont="1" applyFill="1" applyBorder="1" applyAlignment="1" applyProtection="1">
      <alignment vertical="center"/>
    </xf>
    <xf numFmtId="164" fontId="40" fillId="3" borderId="8" xfId="2" applyNumberFormat="1" applyFont="1" applyFill="1" applyBorder="1" applyAlignment="1" applyProtection="1">
      <alignment vertical="center"/>
    </xf>
    <xf numFmtId="164" fontId="40" fillId="3" borderId="49" xfId="4" applyNumberFormat="1" applyFont="1" applyFill="1" applyBorder="1" applyAlignment="1" applyProtection="1">
      <alignment horizontal="center" vertical="center"/>
    </xf>
    <xf numFmtId="165" fontId="11" fillId="3" borderId="52" xfId="1" applyNumberFormat="1" applyFont="1" applyFill="1" applyBorder="1" applyAlignment="1" applyProtection="1">
      <alignment vertical="center"/>
    </xf>
    <xf numFmtId="0" fontId="37" fillId="3" borderId="7" xfId="4" applyFont="1" applyFill="1" applyBorder="1" applyAlignment="1" applyProtection="1">
      <alignment horizontal="center"/>
    </xf>
    <xf numFmtId="0" fontId="38" fillId="9" borderId="7" xfId="4" applyFont="1" applyFill="1" applyBorder="1" applyAlignment="1" applyProtection="1">
      <alignment horizontal="center"/>
      <protection locked="0"/>
    </xf>
    <xf numFmtId="165" fontId="11" fillId="3" borderId="8" xfId="1" applyNumberFormat="1" applyFont="1" applyFill="1" applyBorder="1" applyAlignment="1" applyProtection="1">
      <alignment vertical="center"/>
    </xf>
    <xf numFmtId="0" fontId="37" fillId="0" borderId="13" xfId="4" applyFont="1" applyBorder="1" applyProtection="1"/>
    <xf numFmtId="165" fontId="37" fillId="0" borderId="17" xfId="1" applyNumberFormat="1" applyFont="1" applyFill="1" applyBorder="1" applyAlignment="1" applyProtection="1">
      <alignment horizontal="center"/>
    </xf>
    <xf numFmtId="0" fontId="41" fillId="0" borderId="0" xfId="4" applyFont="1" applyProtection="1"/>
    <xf numFmtId="0" fontId="42" fillId="0" borderId="0" xfId="4" applyFont="1" applyProtection="1"/>
    <xf numFmtId="0" fontId="19" fillId="5" borderId="0" xfId="0" applyFont="1" applyFill="1" applyBorder="1" applyProtection="1"/>
    <xf numFmtId="0" fontId="4" fillId="5" borderId="0" xfId="0" applyFont="1" applyFill="1" applyBorder="1" applyProtection="1"/>
    <xf numFmtId="0" fontId="4" fillId="0" borderId="0" xfId="0" applyFont="1" applyFill="1" applyBorder="1" applyProtection="1"/>
    <xf numFmtId="165" fontId="4" fillId="0" borderId="0" xfId="1" applyNumberFormat="1" applyFont="1" applyFill="1" applyBorder="1" applyProtection="1"/>
    <xf numFmtId="0" fontId="29" fillId="5" borderId="0" xfId="0" applyFont="1" applyFill="1" applyBorder="1" applyProtection="1"/>
    <xf numFmtId="0" fontId="19" fillId="5" borderId="0" xfId="0" applyFont="1" applyFill="1" applyBorder="1" applyAlignment="1" applyProtection="1">
      <alignment vertical="top" wrapText="1"/>
    </xf>
    <xf numFmtId="0" fontId="19" fillId="0" borderId="0" xfId="0" applyFont="1" applyFill="1" applyBorder="1" applyProtection="1"/>
    <xf numFmtId="165" fontId="19" fillId="0" borderId="0" xfId="1" applyNumberFormat="1" applyFont="1" applyFill="1" applyBorder="1" applyProtection="1"/>
    <xf numFmtId="0" fontId="3" fillId="5" borderId="0" xfId="0" applyFont="1" applyFill="1" applyBorder="1" applyProtection="1"/>
    <xf numFmtId="0" fontId="3" fillId="0" borderId="0" xfId="0" applyFont="1" applyFill="1" applyBorder="1" applyProtection="1"/>
    <xf numFmtId="165" fontId="3" fillId="0" borderId="0" xfId="1" applyNumberFormat="1" applyFont="1" applyFill="1" applyBorder="1" applyProtection="1"/>
    <xf numFmtId="0" fontId="2" fillId="5" borderId="21" xfId="0" applyFont="1" applyFill="1" applyBorder="1" applyAlignment="1" applyProtection="1">
      <alignment horizontal="center" wrapText="1"/>
    </xf>
    <xf numFmtId="0" fontId="2" fillId="5" borderId="33" xfId="0" applyFont="1" applyFill="1" applyBorder="1" applyAlignment="1" applyProtection="1">
      <alignment horizontal="center" wrapText="1"/>
    </xf>
    <xf numFmtId="0" fontId="2" fillId="5" borderId="22" xfId="0" applyFont="1" applyFill="1" applyBorder="1" applyAlignment="1" applyProtection="1">
      <alignment horizontal="center" wrapText="1"/>
    </xf>
    <xf numFmtId="0" fontId="2" fillId="5" borderId="29" xfId="0" applyFont="1" applyFill="1" applyBorder="1" applyAlignment="1" applyProtection="1">
      <alignment horizontal="center" wrapText="1"/>
    </xf>
    <xf numFmtId="0" fontId="25" fillId="0" borderId="0" xfId="0" applyFont="1" applyFill="1" applyBorder="1" applyAlignment="1" applyProtection="1">
      <alignment horizontal="center"/>
    </xf>
    <xf numFmtId="0" fontId="3" fillId="5" borderId="51" xfId="0" applyFont="1" applyFill="1" applyBorder="1" applyAlignment="1" applyProtection="1">
      <alignment horizontal="left" indent="1"/>
    </xf>
    <xf numFmtId="165" fontId="3" fillId="5" borderId="19" xfId="1" applyNumberFormat="1" applyFont="1" applyFill="1" applyBorder="1" applyAlignment="1" applyProtection="1">
      <alignment horizontal="center"/>
    </xf>
    <xf numFmtId="0" fontId="3" fillId="5" borderId="20" xfId="0" applyFont="1" applyFill="1" applyBorder="1" applyAlignment="1" applyProtection="1">
      <alignment horizontal="right" indent="1"/>
    </xf>
    <xf numFmtId="0" fontId="3" fillId="5" borderId="23" xfId="0" applyFont="1" applyFill="1" applyBorder="1" applyAlignment="1" applyProtection="1">
      <alignment horizontal="left" indent="1"/>
    </xf>
    <xf numFmtId="165" fontId="3" fillId="5" borderId="23" xfId="1" applyNumberFormat="1" applyFont="1" applyFill="1" applyBorder="1" applyAlignment="1" applyProtection="1">
      <alignment horizontal="center"/>
    </xf>
    <xf numFmtId="0" fontId="3" fillId="5" borderId="23" xfId="0" applyFont="1" applyFill="1" applyBorder="1" applyAlignment="1" applyProtection="1">
      <alignment horizontal="right" indent="1"/>
    </xf>
    <xf numFmtId="0" fontId="3" fillId="5" borderId="20" xfId="0" applyFont="1" applyFill="1" applyBorder="1" applyAlignment="1" applyProtection="1">
      <alignment horizontal="left" indent="1"/>
    </xf>
    <xf numFmtId="165" fontId="3" fillId="5" borderId="20" xfId="1" applyNumberFormat="1" applyFont="1" applyFill="1" applyBorder="1" applyAlignment="1" applyProtection="1">
      <alignment horizontal="center"/>
    </xf>
    <xf numFmtId="0" fontId="3" fillId="0" borderId="0" xfId="0" applyFont="1" applyFill="1" applyBorder="1" applyAlignment="1" applyProtection="1">
      <alignment horizontal="center"/>
    </xf>
    <xf numFmtId="165" fontId="3" fillId="0" borderId="0" xfId="1" applyNumberFormat="1" applyFont="1" applyFill="1" applyBorder="1" applyAlignment="1" applyProtection="1">
      <alignment horizontal="center"/>
    </xf>
    <xf numFmtId="0" fontId="5" fillId="5" borderId="0" xfId="0" applyFont="1" applyFill="1" applyBorder="1" applyProtection="1"/>
    <xf numFmtId="0" fontId="21" fillId="0" borderId="0" xfId="0" applyFont="1" applyFill="1" applyBorder="1"/>
    <xf numFmtId="165" fontId="21" fillId="0" borderId="53" xfId="0" applyNumberFormat="1" applyFont="1" applyFill="1" applyBorder="1"/>
    <xf numFmtId="0" fontId="3" fillId="0" borderId="0" xfId="0" applyFont="1" applyFill="1" applyBorder="1" applyAlignment="1">
      <alignment horizontal="right"/>
    </xf>
    <xf numFmtId="164" fontId="21" fillId="0" borderId="48" xfId="2" applyNumberFormat="1" applyFont="1" applyFill="1" applyBorder="1"/>
    <xf numFmtId="165" fontId="21" fillId="0" borderId="0" xfId="1" applyNumberFormat="1" applyFont="1" applyFill="1" applyBorder="1" applyProtection="1"/>
    <xf numFmtId="43" fontId="21" fillId="0" borderId="48" xfId="0" applyNumberFormat="1" applyFont="1" applyFill="1" applyBorder="1"/>
    <xf numFmtId="0" fontId="44" fillId="5" borderId="0" xfId="0" applyFont="1" applyFill="1" applyBorder="1" applyAlignment="1" applyProtection="1">
      <alignment horizontal="right"/>
      <protection locked="0"/>
    </xf>
    <xf numFmtId="164" fontId="38" fillId="9" borderId="19" xfId="2" applyNumberFormat="1" applyFont="1" applyFill="1" applyBorder="1" applyAlignment="1" applyProtection="1">
      <alignment horizontal="left"/>
      <protection locked="0"/>
    </xf>
    <xf numFmtId="164" fontId="39" fillId="3" borderId="54" xfId="4" applyNumberFormat="1" applyFont="1" applyFill="1" applyBorder="1" applyAlignment="1" applyProtection="1">
      <alignment horizontal="left"/>
    </xf>
    <xf numFmtId="0" fontId="3" fillId="0" borderId="0" xfId="0" applyFont="1" applyFill="1" applyBorder="1" applyAlignment="1" applyProtection="1">
      <alignment horizontal="left"/>
      <protection locked="0"/>
    </xf>
    <xf numFmtId="0" fontId="4" fillId="0" borderId="0" xfId="0" applyFont="1" applyFill="1" applyBorder="1" applyAlignment="1">
      <alignment horizontal="left"/>
    </xf>
    <xf numFmtId="0" fontId="3" fillId="0" borderId="0" xfId="0" applyFont="1" applyFill="1" applyBorder="1" applyAlignment="1">
      <alignment horizontal="left"/>
    </xf>
    <xf numFmtId="0" fontId="8" fillId="3" borderId="0" xfId="4" applyFont="1" applyFill="1" applyBorder="1" applyAlignment="1" applyProtection="1">
      <alignment horizontal="center" wrapText="1"/>
    </xf>
    <xf numFmtId="0" fontId="8" fillId="3" borderId="11" xfId="4" applyFont="1" applyFill="1" applyBorder="1" applyAlignment="1" applyProtection="1">
      <alignment horizontal="center" wrapText="1"/>
    </xf>
    <xf numFmtId="0" fontId="37" fillId="0" borderId="39" xfId="4" applyFont="1" applyFill="1" applyBorder="1" applyAlignment="1" applyProtection="1">
      <alignment horizontal="center"/>
    </xf>
    <xf numFmtId="164" fontId="40" fillId="3" borderId="2" xfId="4" applyNumberFormat="1" applyFont="1" applyFill="1" applyBorder="1" applyAlignment="1" applyProtection="1">
      <alignment horizontal="center" vertical="center"/>
    </xf>
    <xf numFmtId="164" fontId="40" fillId="3" borderId="17" xfId="4" applyNumberFormat="1" applyFont="1" applyFill="1" applyBorder="1" applyAlignment="1" applyProtection="1">
      <alignment horizontal="left" vertical="center"/>
    </xf>
    <xf numFmtId="165" fontId="39" fillId="7" borderId="7" xfId="1" applyNumberFormat="1" applyFont="1" applyFill="1" applyBorder="1" applyProtection="1"/>
    <xf numFmtId="164" fontId="40" fillId="5" borderId="34" xfId="4" applyNumberFormat="1" applyFont="1" applyFill="1" applyBorder="1" applyProtection="1"/>
    <xf numFmtId="164" fontId="40" fillId="7" borderId="33" xfId="4" applyNumberFormat="1" applyFont="1" applyFill="1" applyBorder="1" applyProtection="1"/>
    <xf numFmtId="164" fontId="40" fillId="7" borderId="35" xfId="4" applyNumberFormat="1" applyFont="1" applyFill="1" applyBorder="1" applyProtection="1"/>
    <xf numFmtId="0" fontId="8" fillId="3" borderId="0" xfId="4" applyFont="1" applyFill="1" applyBorder="1" applyAlignment="1" applyProtection="1">
      <alignment horizontal="center" wrapText="1"/>
    </xf>
    <xf numFmtId="0" fontId="8" fillId="3" borderId="11" xfId="4" applyFont="1" applyFill="1" applyBorder="1" applyAlignment="1" applyProtection="1">
      <alignment horizontal="center" wrapText="1"/>
    </xf>
    <xf numFmtId="0" fontId="8" fillId="5" borderId="0" xfId="4" applyFont="1" applyFill="1" applyBorder="1" applyAlignment="1" applyProtection="1">
      <alignment horizontal="center" wrapText="1"/>
    </xf>
    <xf numFmtId="164" fontId="40" fillId="5" borderId="21" xfId="4" applyNumberFormat="1" applyFont="1" applyFill="1" applyBorder="1" applyProtection="1"/>
    <xf numFmtId="164" fontId="40" fillId="7" borderId="22" xfId="4" applyNumberFormat="1" applyFont="1" applyFill="1" applyBorder="1" applyProtection="1"/>
    <xf numFmtId="164" fontId="40" fillId="7" borderId="50" xfId="4" applyNumberFormat="1" applyFont="1" applyFill="1" applyBorder="1" applyProtection="1"/>
    <xf numFmtId="165" fontId="39" fillId="5" borderId="26" xfId="1" applyNumberFormat="1" applyFont="1" applyFill="1" applyBorder="1" applyAlignment="1" applyProtection="1">
      <alignment horizontal="left"/>
    </xf>
    <xf numFmtId="165" fontId="39" fillId="7" borderId="23" xfId="1" applyNumberFormat="1" applyFont="1" applyFill="1" applyBorder="1" applyProtection="1"/>
    <xf numFmtId="165" fontId="39" fillId="7" borderId="24" xfId="1" applyNumberFormat="1" applyFont="1" applyFill="1" applyBorder="1" applyProtection="1"/>
    <xf numFmtId="164" fontId="40" fillId="5" borderId="36" xfId="4" applyNumberFormat="1" applyFont="1" applyFill="1" applyBorder="1" applyProtection="1"/>
    <xf numFmtId="164" fontId="40" fillId="7" borderId="37" xfId="4" applyNumberFormat="1" applyFont="1" applyFill="1" applyBorder="1" applyProtection="1"/>
    <xf numFmtId="164" fontId="40" fillId="7" borderId="55" xfId="4" applyNumberFormat="1" applyFont="1" applyFill="1" applyBorder="1" applyProtection="1"/>
    <xf numFmtId="0" fontId="2" fillId="5" borderId="28" xfId="0" applyFont="1" applyFill="1" applyBorder="1" applyAlignment="1">
      <alignment horizontal="center" wrapText="1"/>
    </xf>
    <xf numFmtId="0" fontId="3" fillId="5" borderId="20" xfId="0" quotePrefix="1" applyFont="1" applyFill="1" applyBorder="1" applyAlignment="1">
      <alignment horizontal="center"/>
    </xf>
    <xf numFmtId="0" fontId="3" fillId="5" borderId="23" xfId="0" applyFont="1" applyFill="1" applyBorder="1" applyAlignment="1">
      <alignment horizontal="center"/>
    </xf>
    <xf numFmtId="0" fontId="3" fillId="5" borderId="20" xfId="0" applyFont="1" applyFill="1" applyBorder="1" applyAlignment="1" applyProtection="1">
      <alignment horizontal="center"/>
    </xf>
    <xf numFmtId="0" fontId="3" fillId="5" borderId="23" xfId="0" applyFont="1" applyFill="1" applyBorder="1" applyAlignment="1" applyProtection="1">
      <alignment horizontal="center"/>
    </xf>
    <xf numFmtId="0" fontId="3" fillId="5" borderId="20" xfId="0" quotePrefix="1" applyFont="1" applyFill="1" applyBorder="1" applyAlignment="1" applyProtection="1">
      <alignment horizontal="center"/>
    </xf>
    <xf numFmtId="0" fontId="3" fillId="5" borderId="23" xfId="0" quotePrefix="1" applyFont="1" applyFill="1" applyBorder="1" applyAlignment="1" applyProtection="1">
      <alignment horizontal="center"/>
    </xf>
    <xf numFmtId="43" fontId="21" fillId="0" borderId="0" xfId="0" applyNumberFormat="1" applyFont="1" applyFill="1" applyBorder="1"/>
    <xf numFmtId="0" fontId="2" fillId="0" borderId="0" xfId="0" applyFont="1" applyFill="1" applyBorder="1"/>
    <xf numFmtId="165" fontId="47" fillId="0" borderId="0" xfId="1" applyNumberFormat="1" applyFont="1" applyFill="1" applyBorder="1"/>
    <xf numFmtId="164" fontId="48" fillId="0" borderId="0" xfId="2" applyNumberFormat="1" applyFont="1" applyFill="1" applyBorder="1"/>
    <xf numFmtId="43" fontId="22" fillId="0" borderId="37" xfId="1" applyFont="1" applyFill="1" applyBorder="1"/>
    <xf numFmtId="10" fontId="21" fillId="0" borderId="37" xfId="3" applyNumberFormat="1" applyFont="1" applyFill="1" applyBorder="1" applyAlignment="1">
      <alignment horizontal="center"/>
    </xf>
    <xf numFmtId="164" fontId="21" fillId="0" borderId="37" xfId="2" applyNumberFormat="1" applyFont="1" applyFill="1" applyBorder="1"/>
    <xf numFmtId="0" fontId="2" fillId="0" borderId="56" xfId="0" applyFont="1" applyFill="1" applyBorder="1" applyAlignment="1">
      <alignment horizontal="center" wrapText="1"/>
    </xf>
    <xf numFmtId="0" fontId="2" fillId="0" borderId="57" xfId="0" applyFont="1" applyFill="1" applyBorder="1" applyAlignment="1">
      <alignment horizontal="center" wrapText="1"/>
    </xf>
    <xf numFmtId="0" fontId="2" fillId="0" borderId="23" xfId="0" applyFont="1" applyFill="1" applyBorder="1" applyAlignment="1">
      <alignment horizontal="center" wrapText="1"/>
    </xf>
    <xf numFmtId="0" fontId="3" fillId="0" borderId="37" xfId="0" applyFont="1" applyFill="1" applyBorder="1" applyAlignment="1">
      <alignment horizontal="left"/>
    </xf>
    <xf numFmtId="10" fontId="21" fillId="0" borderId="23" xfId="3" applyNumberFormat="1" applyFont="1" applyFill="1" applyBorder="1" applyAlignment="1">
      <alignment horizontal="center"/>
    </xf>
    <xf numFmtId="165" fontId="21" fillId="0" borderId="23" xfId="1" applyNumberFormat="1" applyFont="1" applyFill="1" applyBorder="1" applyAlignment="1">
      <alignment horizontal="center"/>
    </xf>
    <xf numFmtId="43" fontId="22" fillId="0" borderId="23" xfId="1" applyFont="1" applyFill="1" applyBorder="1"/>
    <xf numFmtId="0" fontId="3" fillId="0" borderId="23" xfId="0" applyFont="1" applyFill="1" applyBorder="1" applyAlignment="1">
      <alignment horizontal="left"/>
    </xf>
    <xf numFmtId="164" fontId="21" fillId="0" borderId="37" xfId="2" applyNumberFormat="1" applyFont="1" applyFill="1" applyBorder="1" applyAlignment="1">
      <alignment horizontal="center"/>
    </xf>
    <xf numFmtId="164" fontId="21" fillId="0" borderId="23" xfId="2" applyNumberFormat="1" applyFont="1" applyFill="1" applyBorder="1" applyAlignment="1">
      <alignment horizontal="center"/>
    </xf>
    <xf numFmtId="164" fontId="21" fillId="0" borderId="23" xfId="2" applyNumberFormat="1" applyFont="1" applyFill="1" applyBorder="1"/>
    <xf numFmtId="164" fontId="3" fillId="0" borderId="23" xfId="2" applyNumberFormat="1" applyFont="1" applyFill="1" applyBorder="1"/>
    <xf numFmtId="164" fontId="21" fillId="0" borderId="53" xfId="2" applyNumberFormat="1" applyFont="1" applyFill="1" applyBorder="1"/>
    <xf numFmtId="0" fontId="2" fillId="0" borderId="0" xfId="0" applyFont="1" applyFill="1" applyBorder="1" applyAlignment="1">
      <alignment horizontal="right"/>
    </xf>
    <xf numFmtId="165" fontId="21" fillId="0" borderId="20" xfId="1" applyNumberFormat="1" applyFont="1" applyFill="1" applyBorder="1" applyAlignment="1">
      <alignment horizontal="center"/>
    </xf>
    <xf numFmtId="0" fontId="22" fillId="5" borderId="20" xfId="0" applyFont="1" applyFill="1" applyBorder="1" applyAlignment="1">
      <alignment horizontal="right" indent="2"/>
    </xf>
    <xf numFmtId="0" fontId="22" fillId="5" borderId="23" xfId="0" applyFont="1" applyFill="1" applyBorder="1" applyAlignment="1">
      <alignment horizontal="right" indent="2"/>
    </xf>
    <xf numFmtId="0" fontId="22" fillId="0" borderId="20" xfId="0" applyFont="1" applyFill="1" applyBorder="1" applyAlignment="1">
      <alignment horizontal="right" indent="2"/>
    </xf>
    <xf numFmtId="0" fontId="22" fillId="0" borderId="23" xfId="0" applyFont="1" applyFill="1" applyBorder="1" applyAlignment="1">
      <alignment horizontal="right" indent="2"/>
    </xf>
    <xf numFmtId="0" fontId="22" fillId="0" borderId="7" xfId="0" applyFont="1" applyFill="1" applyBorder="1" applyAlignment="1">
      <alignment horizontal="right" indent="2"/>
    </xf>
    <xf numFmtId="43" fontId="22" fillId="0" borderId="37" xfId="0" applyNumberFormat="1" applyFont="1" applyFill="1" applyBorder="1" applyAlignment="1">
      <alignment horizontal="center"/>
    </xf>
    <xf numFmtId="43" fontId="22" fillId="0" borderId="23" xfId="0" applyNumberFormat="1" applyFont="1" applyFill="1" applyBorder="1" applyAlignment="1">
      <alignment horizontal="center"/>
    </xf>
    <xf numFmtId="0" fontId="2" fillId="0" borderId="23" xfId="0" applyFont="1" applyFill="1" applyBorder="1" applyAlignment="1">
      <alignment horizontal="left" indent="1"/>
    </xf>
    <xf numFmtId="164" fontId="22" fillId="0" borderId="0" xfId="2" applyNumberFormat="1" applyFont="1" applyFill="1" applyBorder="1"/>
    <xf numFmtId="164" fontId="21" fillId="0" borderId="0" xfId="0" applyNumberFormat="1" applyFont="1" applyFill="1" applyBorder="1"/>
    <xf numFmtId="10" fontId="22" fillId="5" borderId="2" xfId="3" applyNumberFormat="1" applyFont="1" applyFill="1" applyBorder="1"/>
    <xf numFmtId="10" fontId="21" fillId="5" borderId="2" xfId="3" applyNumberFormat="1" applyFont="1" applyFill="1" applyBorder="1"/>
    <xf numFmtId="10" fontId="21" fillId="0" borderId="2" xfId="3" applyNumberFormat="1" applyFont="1" applyFill="1" applyBorder="1"/>
    <xf numFmtId="10" fontId="21" fillId="5" borderId="23" xfId="3" applyNumberFormat="1" applyFont="1" applyFill="1" applyBorder="1"/>
    <xf numFmtId="0" fontId="3" fillId="0" borderId="0" xfId="0" applyFont="1" applyAlignment="1">
      <alignment horizontal="right"/>
    </xf>
    <xf numFmtId="165" fontId="50" fillId="0" borderId="0" xfId="1" applyNumberFormat="1" applyFont="1" applyFill="1" applyBorder="1"/>
    <xf numFmtId="10" fontId="20" fillId="0" borderId="0" xfId="3" applyNumberFormat="1" applyFont="1" applyFill="1" applyBorder="1"/>
    <xf numFmtId="0" fontId="3" fillId="0" borderId="6" xfId="0" applyFont="1" applyFill="1" applyBorder="1" applyAlignment="1">
      <alignment horizontal="left"/>
    </xf>
    <xf numFmtId="164" fontId="21" fillId="0" borderId="2" xfId="0" applyNumberFormat="1" applyFont="1" applyBorder="1"/>
    <xf numFmtId="10" fontId="21" fillId="0" borderId="2" xfId="3" applyNumberFormat="1" applyFont="1" applyBorder="1"/>
    <xf numFmtId="164" fontId="21" fillId="0" borderId="32" xfId="0" applyNumberFormat="1" applyFont="1" applyBorder="1"/>
    <xf numFmtId="10" fontId="21" fillId="0" borderId="17" xfId="3" applyNumberFormat="1" applyFont="1" applyBorder="1"/>
    <xf numFmtId="164" fontId="21" fillId="0" borderId="26" xfId="0" applyNumberFormat="1" applyFont="1" applyBorder="1"/>
    <xf numFmtId="10" fontId="21" fillId="0" borderId="23" xfId="3" applyNumberFormat="1" applyFont="1" applyBorder="1"/>
    <xf numFmtId="164" fontId="21" fillId="0" borderId="23" xfId="0" applyNumberFormat="1" applyFont="1" applyBorder="1"/>
    <xf numFmtId="10" fontId="21" fillId="0" borderId="24" xfId="3" applyNumberFormat="1" applyFont="1" applyBorder="1"/>
    <xf numFmtId="164" fontId="21" fillId="0" borderId="2" xfId="2" applyNumberFormat="1" applyFont="1" applyFill="1" applyBorder="1"/>
    <xf numFmtId="164" fontId="21" fillId="5" borderId="23" xfId="2" applyNumberFormat="1" applyFont="1" applyFill="1" applyBorder="1"/>
    <xf numFmtId="164" fontId="21" fillId="0" borderId="17" xfId="2" applyNumberFormat="1" applyFont="1" applyFill="1" applyBorder="1"/>
    <xf numFmtId="164" fontId="21" fillId="5" borderId="24" xfId="2" applyNumberFormat="1" applyFont="1" applyFill="1" applyBorder="1"/>
    <xf numFmtId="0" fontId="44" fillId="0" borderId="0" xfId="0" applyFont="1" applyFill="1" applyBorder="1" applyAlignment="1" applyProtection="1">
      <alignment horizontal="right"/>
      <protection locked="0"/>
    </xf>
    <xf numFmtId="0" fontId="24" fillId="0" borderId="0" xfId="0" applyFont="1" applyFill="1" applyBorder="1" applyAlignment="1">
      <alignment horizontal="center"/>
    </xf>
    <xf numFmtId="0" fontId="3" fillId="0" borderId="0" xfId="0" applyFont="1" applyFill="1" applyBorder="1" applyAlignment="1">
      <alignment horizontal="left" wrapText="1" indent="1"/>
    </xf>
    <xf numFmtId="0" fontId="3" fillId="0" borderId="0" xfId="0" applyFont="1" applyFill="1" applyBorder="1" applyAlignment="1" applyProtection="1">
      <alignment horizontal="left" vertical="top" wrapText="1" inden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right"/>
    </xf>
    <xf numFmtId="164" fontId="21" fillId="0" borderId="0" xfId="0" applyNumberFormat="1" applyFont="1" applyFill="1" applyBorder="1" applyProtection="1"/>
    <xf numFmtId="43" fontId="21" fillId="0" borderId="0" xfId="1" applyFont="1" applyFill="1" applyBorder="1" applyProtection="1"/>
    <xf numFmtId="165" fontId="21" fillId="0" borderId="53" xfId="1" applyNumberFormat="1" applyFont="1" applyFill="1" applyBorder="1" applyProtection="1"/>
    <xf numFmtId="10" fontId="21" fillId="0" borderId="0" xfId="3" applyNumberFormat="1" applyFont="1" applyFill="1" applyBorder="1" applyProtection="1"/>
    <xf numFmtId="164" fontId="21" fillId="0" borderId="1" xfId="0" applyNumberFormat="1" applyFont="1" applyFill="1" applyBorder="1" applyProtection="1"/>
    <xf numFmtId="164" fontId="21" fillId="0" borderId="2" xfId="0" applyNumberFormat="1" applyFont="1" applyFill="1" applyBorder="1" applyProtection="1"/>
    <xf numFmtId="10" fontId="21" fillId="0" borderId="2" xfId="3" applyNumberFormat="1" applyFont="1" applyFill="1" applyBorder="1" applyProtection="1"/>
    <xf numFmtId="10" fontId="20" fillId="11" borderId="48" xfId="3" applyNumberFormat="1" applyFont="1" applyFill="1" applyBorder="1" applyProtection="1"/>
    <xf numFmtId="164" fontId="20" fillId="0" borderId="48" xfId="2" applyNumberFormat="1" applyFont="1" applyFill="1" applyBorder="1" applyProtection="1"/>
    <xf numFmtId="164" fontId="20" fillId="11" borderId="48" xfId="2" applyNumberFormat="1" applyFont="1" applyFill="1" applyBorder="1" applyProtection="1"/>
    <xf numFmtId="0" fontId="48" fillId="5" borderId="2" xfId="0" applyFont="1" applyFill="1" applyBorder="1" applyAlignment="1">
      <alignment horizontal="center" wrapText="1"/>
    </xf>
    <xf numFmtId="164" fontId="35" fillId="0" borderId="19" xfId="2" applyNumberFormat="1" applyFont="1" applyFill="1" applyBorder="1" applyProtection="1"/>
    <xf numFmtId="164" fontId="35" fillId="0" borderId="23" xfId="2" applyNumberFormat="1" applyFont="1" applyFill="1" applyBorder="1" applyProtection="1"/>
    <xf numFmtId="164" fontId="35" fillId="0" borderId="20" xfId="2" applyNumberFormat="1" applyFont="1" applyFill="1" applyBorder="1" applyProtection="1"/>
    <xf numFmtId="10" fontId="47" fillId="0" borderId="0" xfId="3" applyNumberFormat="1" applyFont="1" applyFill="1" applyBorder="1"/>
    <xf numFmtId="0" fontId="3" fillId="0" borderId="20" xfId="0" applyFont="1" applyFill="1" applyBorder="1" applyAlignment="1">
      <alignment horizontal="left" indent="1"/>
    </xf>
    <xf numFmtId="0" fontId="3" fillId="0" borderId="20" xfId="0" applyFont="1" applyFill="1" applyBorder="1" applyAlignment="1">
      <alignment horizontal="center"/>
    </xf>
    <xf numFmtId="0" fontId="3" fillId="0" borderId="23" xfId="0" applyFont="1" applyFill="1" applyBorder="1" applyAlignment="1">
      <alignment horizontal="left" indent="1"/>
    </xf>
    <xf numFmtId="0" fontId="3" fillId="0" borderId="23" xfId="0" applyFont="1" applyFill="1" applyBorder="1" applyAlignment="1">
      <alignment horizontal="center"/>
    </xf>
    <xf numFmtId="0" fontId="3" fillId="0" borderId="20" xfId="0" quotePrefix="1" applyFont="1" applyFill="1" applyBorder="1" applyAlignment="1">
      <alignment horizontal="center"/>
    </xf>
    <xf numFmtId="0" fontId="3" fillId="0" borderId="7" xfId="0" applyFont="1" applyFill="1" applyBorder="1" applyAlignment="1">
      <alignment horizontal="left" indent="1"/>
    </xf>
    <xf numFmtId="0" fontId="3" fillId="0" borderId="37" xfId="0" quotePrefix="1" applyFont="1" applyFill="1" applyBorder="1" applyAlignment="1">
      <alignment horizontal="center"/>
    </xf>
    <xf numFmtId="0" fontId="5" fillId="0" borderId="0" xfId="0" applyFont="1" applyFill="1" applyBorder="1"/>
    <xf numFmtId="164" fontId="20" fillId="0" borderId="0" xfId="0" applyNumberFormat="1" applyFont="1" applyFill="1" applyBorder="1"/>
    <xf numFmtId="0" fontId="22" fillId="0" borderId="37" xfId="0" applyFont="1" applyFill="1" applyBorder="1" applyAlignment="1">
      <alignment horizontal="right" indent="2"/>
    </xf>
    <xf numFmtId="10" fontId="22" fillId="0" borderId="2" xfId="3" applyNumberFormat="1" applyFont="1" applyFill="1" applyBorder="1"/>
    <xf numFmtId="0" fontId="37" fillId="0" borderId="20" xfId="4" applyFont="1" applyFill="1" applyBorder="1" applyAlignment="1" applyProtection="1">
      <alignment horizontal="center"/>
      <protection locked="0"/>
    </xf>
    <xf numFmtId="0" fontId="37" fillId="3" borderId="37" xfId="4" applyFont="1" applyFill="1" applyBorder="1" applyAlignment="1" applyProtection="1">
      <alignment horizontal="center"/>
    </xf>
    <xf numFmtId="165" fontId="38" fillId="9" borderId="37" xfId="1" applyNumberFormat="1" applyFont="1" applyFill="1" applyBorder="1" applyAlignment="1" applyProtection="1">
      <alignment horizontal="left"/>
      <protection locked="0"/>
    </xf>
    <xf numFmtId="165" fontId="39" fillId="3" borderId="55" xfId="1" applyNumberFormat="1" applyFont="1" applyFill="1" applyBorder="1" applyAlignment="1" applyProtection="1">
      <alignment horizontal="left"/>
    </xf>
    <xf numFmtId="0" fontId="8" fillId="3" borderId="8" xfId="4" applyFont="1" applyFill="1" applyBorder="1" applyAlignment="1" applyProtection="1">
      <alignment horizontal="center" wrapText="1"/>
    </xf>
    <xf numFmtId="0" fontId="8" fillId="5" borderId="8" xfId="4" applyFont="1" applyFill="1" applyBorder="1" applyAlignment="1" applyProtection="1">
      <alignment horizontal="center" wrapText="1"/>
    </xf>
    <xf numFmtId="0" fontId="8" fillId="3" borderId="12" xfId="4" applyFont="1" applyFill="1" applyBorder="1" applyAlignment="1" applyProtection="1">
      <alignment horizontal="center" wrapText="1"/>
    </xf>
    <xf numFmtId="43" fontId="22" fillId="5" borderId="19" xfId="1" applyFont="1" applyFill="1" applyBorder="1" applyAlignment="1" applyProtection="1">
      <alignment horizontal="center"/>
    </xf>
    <xf numFmtId="43" fontId="22" fillId="5" borderId="23" xfId="1" applyFont="1" applyFill="1" applyBorder="1" applyAlignment="1" applyProtection="1">
      <alignment horizontal="center"/>
    </xf>
    <xf numFmtId="43" fontId="22" fillId="5" borderId="20" xfId="1" applyFont="1" applyFill="1" applyBorder="1" applyAlignment="1" applyProtection="1">
      <alignment horizontal="center"/>
    </xf>
    <xf numFmtId="43" fontId="22" fillId="0" borderId="0" xfId="1" applyFont="1" applyFill="1" applyBorder="1" applyProtection="1"/>
    <xf numFmtId="43" fontId="22" fillId="5" borderId="0" xfId="1" applyFont="1" applyFill="1" applyBorder="1" applyProtection="1"/>
    <xf numFmtId="164" fontId="22" fillId="0" borderId="19" xfId="2" applyNumberFormat="1" applyFont="1" applyFill="1" applyBorder="1" applyProtection="1"/>
    <xf numFmtId="164" fontId="22" fillId="0" borderId="23" xfId="2" applyNumberFormat="1" applyFont="1" applyFill="1" applyBorder="1" applyProtection="1"/>
    <xf numFmtId="164" fontId="22" fillId="0" borderId="20" xfId="2" applyNumberFormat="1" applyFont="1" applyFill="1" applyBorder="1" applyProtection="1"/>
    <xf numFmtId="164" fontId="21" fillId="0" borderId="19" xfId="2" applyNumberFormat="1" applyFont="1" applyFill="1" applyBorder="1" applyProtection="1"/>
    <xf numFmtId="164" fontId="21" fillId="0" borderId="23" xfId="2" applyNumberFormat="1" applyFont="1" applyFill="1" applyBorder="1" applyProtection="1"/>
    <xf numFmtId="164" fontId="21" fillId="0" borderId="20" xfId="2" applyNumberFormat="1" applyFont="1" applyFill="1" applyBorder="1" applyProtection="1"/>
    <xf numFmtId="164" fontId="21" fillId="0" borderId="0" xfId="2" applyNumberFormat="1" applyFont="1" applyFill="1" applyBorder="1"/>
    <xf numFmtId="0" fontId="3" fillId="0" borderId="0" xfId="0" applyFont="1" applyBorder="1" applyAlignment="1">
      <alignment horizontal="right"/>
    </xf>
    <xf numFmtId="10" fontId="48" fillId="0" borderId="0" xfId="3" applyNumberFormat="1" applyFont="1" applyFill="1" applyBorder="1"/>
    <xf numFmtId="0" fontId="50" fillId="0" borderId="1" xfId="0" applyFont="1" applyFill="1" applyBorder="1"/>
    <xf numFmtId="0" fontId="39" fillId="3" borderId="2" xfId="4" applyFont="1" applyFill="1" applyBorder="1" applyAlignment="1" applyProtection="1">
      <alignment horizontal="center"/>
    </xf>
    <xf numFmtId="0" fontId="39" fillId="3" borderId="20" xfId="4" applyFont="1" applyFill="1" applyBorder="1" applyAlignment="1" applyProtection="1">
      <alignment horizontal="center"/>
    </xf>
    <xf numFmtId="43" fontId="22" fillId="12" borderId="23" xfId="1" applyFont="1" applyFill="1" applyBorder="1"/>
    <xf numFmtId="0" fontId="3" fillId="0" borderId="19" xfId="0" quotePrefix="1" applyFont="1" applyFill="1" applyBorder="1" applyAlignment="1">
      <alignment horizontal="center" vertical="center"/>
    </xf>
    <xf numFmtId="0" fontId="3" fillId="0" borderId="22" xfId="0" quotePrefix="1" applyFont="1" applyFill="1" applyBorder="1" applyAlignment="1">
      <alignment horizontal="center" vertical="center"/>
    </xf>
    <xf numFmtId="0" fontId="3" fillId="0" borderId="54" xfId="0" quotePrefix="1" applyFont="1" applyFill="1" applyBorder="1" applyAlignment="1">
      <alignment horizontal="center" vertical="center" wrapText="1"/>
    </xf>
    <xf numFmtId="0" fontId="3" fillId="0" borderId="50" xfId="0" quotePrefix="1" applyFont="1" applyFill="1" applyBorder="1" applyAlignment="1">
      <alignment horizontal="center" vertical="center" wrapText="1"/>
    </xf>
    <xf numFmtId="0" fontId="2" fillId="0" borderId="45" xfId="0" applyFont="1" applyFill="1" applyBorder="1" applyAlignment="1">
      <alignment horizontal="center"/>
    </xf>
    <xf numFmtId="0" fontId="2" fillId="0" borderId="46" xfId="0" applyFont="1" applyFill="1" applyBorder="1" applyAlignment="1">
      <alignment horizontal="center"/>
    </xf>
    <xf numFmtId="0" fontId="5" fillId="0" borderId="18" xfId="0" applyFont="1" applyFill="1" applyBorder="1" applyAlignment="1">
      <alignment horizontal="left" vertical="center" indent="1"/>
    </xf>
    <xf numFmtId="0" fontId="5" fillId="0" borderId="21" xfId="0" applyFont="1" applyFill="1" applyBorder="1" applyAlignment="1">
      <alignment horizontal="left" vertical="center" indent="1"/>
    </xf>
    <xf numFmtId="164" fontId="20" fillId="0" borderId="19" xfId="2" applyNumberFormat="1" applyFont="1" applyFill="1" applyBorder="1" applyAlignment="1">
      <alignment horizontal="center" vertical="center"/>
    </xf>
    <xf numFmtId="164" fontId="20" fillId="0" borderId="6" xfId="2" applyNumberFormat="1" applyFont="1" applyFill="1" applyBorder="1" applyAlignment="1">
      <alignment horizontal="center" vertical="center"/>
    </xf>
    <xf numFmtId="0" fontId="3" fillId="5" borderId="0" xfId="0" applyFont="1" applyFill="1" applyBorder="1" applyAlignment="1" applyProtection="1">
      <alignment horizontal="left" vertical="top" wrapText="1" indent="1"/>
    </xf>
    <xf numFmtId="0" fontId="3" fillId="0" borderId="0" xfId="0" applyFont="1" applyFill="1" applyBorder="1" applyAlignment="1">
      <alignment horizontal="left" wrapText="1" indent="1"/>
    </xf>
    <xf numFmtId="164" fontId="20" fillId="0" borderId="22" xfId="2" applyNumberFormat="1" applyFont="1" applyFill="1" applyBorder="1" applyAlignment="1">
      <alignment horizontal="center" vertical="center"/>
    </xf>
    <xf numFmtId="0" fontId="5" fillId="0" borderId="25" xfId="0" applyFont="1" applyFill="1" applyBorder="1" applyAlignment="1">
      <alignment horizontal="left" vertical="center" indent="1"/>
    </xf>
    <xf numFmtId="0" fontId="3" fillId="5" borderId="19" xfId="0" quotePrefix="1" applyFont="1" applyFill="1" applyBorder="1" applyAlignment="1">
      <alignment horizontal="center" vertical="center"/>
    </xf>
    <xf numFmtId="0" fontId="3" fillId="5" borderId="22" xfId="0" quotePrefix="1" applyFont="1" applyFill="1" applyBorder="1" applyAlignment="1">
      <alignment horizontal="center" vertical="center"/>
    </xf>
    <xf numFmtId="0" fontId="3" fillId="5" borderId="54" xfId="0" quotePrefix="1" applyFont="1" applyFill="1" applyBorder="1" applyAlignment="1">
      <alignment horizontal="center" vertical="center" wrapText="1"/>
    </xf>
    <xf numFmtId="0" fontId="3" fillId="5" borderId="50" xfId="0" quotePrefix="1" applyFont="1" applyFill="1" applyBorder="1" applyAlignment="1">
      <alignment horizontal="center" vertical="center" wrapText="1"/>
    </xf>
    <xf numFmtId="0" fontId="5" fillId="5" borderId="18" xfId="0" applyFont="1" applyFill="1" applyBorder="1" applyAlignment="1">
      <alignment horizontal="left" vertical="center" indent="1"/>
    </xf>
    <xf numFmtId="0" fontId="5" fillId="5" borderId="21" xfId="0" applyFont="1" applyFill="1" applyBorder="1" applyAlignment="1">
      <alignment horizontal="left" vertical="center" indent="1"/>
    </xf>
    <xf numFmtId="164" fontId="20" fillId="5" borderId="19" xfId="2" applyNumberFormat="1" applyFont="1" applyFill="1" applyBorder="1" applyAlignment="1">
      <alignment horizontal="center" vertical="center"/>
    </xf>
    <xf numFmtId="164" fontId="20" fillId="5" borderId="22" xfId="2" applyNumberFormat="1" applyFont="1" applyFill="1" applyBorder="1" applyAlignment="1">
      <alignment horizontal="center" vertical="center"/>
    </xf>
    <xf numFmtId="0" fontId="3" fillId="0" borderId="0" xfId="0" applyFont="1" applyFill="1" applyBorder="1" applyAlignment="1">
      <alignment horizontal="left" indent="1"/>
    </xf>
    <xf numFmtId="0" fontId="3" fillId="5" borderId="0" xfId="0" applyFont="1" applyFill="1" applyBorder="1" applyAlignment="1">
      <alignment horizontal="left" indent="1"/>
    </xf>
    <xf numFmtId="0" fontId="24" fillId="8" borderId="27" xfId="0" applyFont="1" applyFill="1" applyBorder="1" applyAlignment="1">
      <alignment horizontal="center"/>
    </xf>
    <xf numFmtId="0" fontId="24" fillId="8" borderId="30" xfId="0" applyFont="1" applyFill="1" applyBorder="1" applyAlignment="1">
      <alignment horizontal="center"/>
    </xf>
    <xf numFmtId="0" fontId="24" fillId="8" borderId="28" xfId="0" applyFont="1" applyFill="1" applyBorder="1" applyAlignment="1">
      <alignment horizont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1" xfId="0" applyFont="1" applyFill="1" applyBorder="1" applyAlignment="1">
      <alignment horizontal="center" vertical="center"/>
    </xf>
    <xf numFmtId="0" fontId="23" fillId="8" borderId="27" xfId="0" applyFont="1" applyFill="1" applyBorder="1" applyAlignment="1">
      <alignment horizontal="center"/>
    </xf>
    <xf numFmtId="0" fontId="23" fillId="8" borderId="30" xfId="0" applyFont="1" applyFill="1" applyBorder="1" applyAlignment="1">
      <alignment horizontal="center"/>
    </xf>
    <xf numFmtId="0" fontId="23" fillId="8" borderId="28" xfId="0" applyFont="1" applyFill="1" applyBorder="1" applyAlignment="1">
      <alignment horizontal="center"/>
    </xf>
    <xf numFmtId="164" fontId="36" fillId="5" borderId="0" xfId="2" applyNumberFormat="1" applyFont="1" applyFill="1" applyBorder="1" applyAlignment="1">
      <alignment horizontal="center"/>
    </xf>
    <xf numFmtId="0" fontId="2" fillId="5" borderId="16" xfId="0" applyFont="1" applyFill="1" applyBorder="1" applyAlignment="1">
      <alignment horizontal="center" vertical="center"/>
    </xf>
    <xf numFmtId="0" fontId="3" fillId="5" borderId="10" xfId="0" quotePrefix="1" applyFont="1" applyFill="1" applyBorder="1" applyAlignment="1">
      <alignment horizontal="center" vertical="center" wrapText="1"/>
    </xf>
    <xf numFmtId="0" fontId="3" fillId="5" borderId="12" xfId="0" quotePrefix="1" applyFont="1" applyFill="1" applyBorder="1" applyAlignment="1">
      <alignment horizontal="center" vertical="center" wrapText="1"/>
    </xf>
    <xf numFmtId="0" fontId="5" fillId="5" borderId="18" xfId="0" applyFont="1" applyFill="1" applyBorder="1" applyAlignment="1" applyProtection="1">
      <alignment horizontal="left" vertical="center" indent="1"/>
    </xf>
    <xf numFmtId="0" fontId="5" fillId="5" borderId="21" xfId="0" applyFont="1" applyFill="1" applyBorder="1" applyAlignment="1" applyProtection="1">
      <alignment horizontal="left" vertical="center" indent="1"/>
    </xf>
    <xf numFmtId="0" fontId="19" fillId="5" borderId="0" xfId="0" applyFont="1" applyFill="1" applyBorder="1" applyAlignment="1" applyProtection="1">
      <alignment horizontal="center"/>
    </xf>
    <xf numFmtId="0" fontId="24" fillId="8" borderId="27" xfId="0" applyFont="1" applyFill="1" applyBorder="1" applyAlignment="1" applyProtection="1">
      <alignment horizontal="center"/>
    </xf>
    <xf numFmtId="0" fontId="24" fillId="8" borderId="30" xfId="0" applyFont="1" applyFill="1" applyBorder="1" applyAlignment="1" applyProtection="1">
      <alignment horizontal="center"/>
    </xf>
    <xf numFmtId="0" fontId="24" fillId="8" borderId="28" xfId="0" applyFont="1" applyFill="1" applyBorder="1" applyAlignment="1" applyProtection="1">
      <alignment horizontal="center"/>
    </xf>
    <xf numFmtId="0" fontId="37" fillId="3" borderId="2" xfId="4" applyFont="1" applyFill="1" applyBorder="1" applyAlignment="1" applyProtection="1">
      <alignment horizontal="left" indent="1"/>
    </xf>
    <xf numFmtId="0" fontId="37" fillId="3" borderId="20" xfId="4" applyFont="1" applyFill="1" applyBorder="1" applyAlignment="1" applyProtection="1">
      <alignment horizontal="left" indent="1"/>
    </xf>
    <xf numFmtId="0" fontId="40" fillId="3" borderId="47" xfId="4" applyFont="1" applyFill="1" applyBorder="1" applyAlignment="1" applyProtection="1">
      <alignment horizontal="right" vertical="center"/>
    </xf>
    <xf numFmtId="0" fontId="40" fillId="3" borderId="48" xfId="4" applyFont="1" applyFill="1" applyBorder="1" applyAlignment="1" applyProtection="1">
      <alignment horizontal="right" vertical="center"/>
    </xf>
    <xf numFmtId="0" fontId="40" fillId="3" borderId="49" xfId="4" applyFont="1" applyFill="1" applyBorder="1" applyAlignment="1" applyProtection="1">
      <alignment horizontal="right" vertical="center"/>
    </xf>
    <xf numFmtId="0" fontId="38" fillId="9" borderId="2" xfId="4" applyFont="1" applyFill="1" applyBorder="1" applyAlignment="1" applyProtection="1">
      <alignment horizontal="left" indent="1"/>
      <protection locked="0"/>
    </xf>
    <xf numFmtId="0" fontId="38" fillId="9" borderId="20" xfId="4" applyFont="1" applyFill="1" applyBorder="1" applyAlignment="1" applyProtection="1">
      <alignment horizontal="left" indent="1"/>
      <protection locked="0"/>
    </xf>
    <xf numFmtId="0" fontId="11" fillId="3" borderId="38" xfId="4" applyFont="1" applyFill="1" applyBorder="1" applyAlignment="1" applyProtection="1">
      <alignment horizontal="left" vertical="center" wrapText="1"/>
    </xf>
    <xf numFmtId="0" fontId="11" fillId="3" borderId="20" xfId="4" applyFont="1" applyFill="1" applyBorder="1" applyAlignment="1" applyProtection="1">
      <alignment horizontal="left" vertical="center" wrapText="1"/>
    </xf>
    <xf numFmtId="0" fontId="11" fillId="3" borderId="32" xfId="4" applyFont="1" applyFill="1" applyBorder="1" applyAlignment="1" applyProtection="1">
      <alignment horizontal="left" vertical="center" wrapText="1"/>
    </xf>
    <xf numFmtId="0" fontId="11" fillId="3" borderId="2" xfId="4" applyFont="1" applyFill="1" applyBorder="1" applyAlignment="1" applyProtection="1">
      <alignment horizontal="left" vertical="center" wrapText="1"/>
    </xf>
    <xf numFmtId="0" fontId="11" fillId="3" borderId="26" xfId="4" applyFont="1" applyFill="1" applyBorder="1" applyAlignment="1" applyProtection="1">
      <alignment horizontal="left" vertical="center" wrapText="1"/>
    </xf>
    <xf numFmtId="0" fontId="11" fillId="3" borderId="23" xfId="4" applyFont="1" applyFill="1" applyBorder="1" applyAlignment="1" applyProtection="1">
      <alignment horizontal="left" vertical="center" wrapText="1"/>
    </xf>
    <xf numFmtId="0" fontId="43" fillId="2" borderId="13" xfId="4" applyFont="1" applyFill="1" applyBorder="1" applyAlignment="1" applyProtection="1">
      <alignment horizontal="center"/>
    </xf>
    <xf numFmtId="0" fontId="43" fillId="2" borderId="0" xfId="4" applyFont="1" applyFill="1" applyBorder="1" applyAlignment="1" applyProtection="1">
      <alignment horizontal="center"/>
    </xf>
    <xf numFmtId="0" fontId="43" fillId="2" borderId="11" xfId="4" applyFont="1" applyFill="1" applyBorder="1" applyAlignment="1" applyProtection="1">
      <alignment horizontal="center"/>
    </xf>
    <xf numFmtId="0" fontId="9" fillId="2" borderId="13" xfId="4" applyFont="1" applyFill="1" applyBorder="1" applyAlignment="1" applyProtection="1">
      <alignment horizontal="center"/>
    </xf>
    <xf numFmtId="0" fontId="9" fillId="2" borderId="0" xfId="4" applyFont="1" applyFill="1" applyBorder="1" applyAlignment="1" applyProtection="1">
      <alignment horizontal="center"/>
    </xf>
    <xf numFmtId="0" fontId="9" fillId="2" borderId="11" xfId="4" applyFont="1" applyFill="1" applyBorder="1" applyAlignment="1" applyProtection="1">
      <alignment horizontal="center"/>
    </xf>
    <xf numFmtId="0" fontId="8" fillId="3" borderId="13" xfId="4" applyFont="1" applyFill="1" applyBorder="1" applyAlignment="1" applyProtection="1">
      <alignment horizontal="center" wrapText="1"/>
    </xf>
    <xf numFmtId="0" fontId="8" fillId="3" borderId="0" xfId="4" applyFont="1" applyFill="1" applyBorder="1" applyAlignment="1" applyProtection="1">
      <alignment horizontal="center" wrapText="1"/>
    </xf>
    <xf numFmtId="0" fontId="34" fillId="9" borderId="1" xfId="4" applyFont="1" applyFill="1" applyBorder="1" applyAlignment="1" applyProtection="1">
      <alignment horizontal="left" vertical="center" indent="1"/>
      <protection locked="0"/>
    </xf>
    <xf numFmtId="16" fontId="11" fillId="5" borderId="1" xfId="4" quotePrefix="1" applyNumberFormat="1" applyFont="1" applyFill="1" applyBorder="1" applyAlignment="1" applyProtection="1">
      <alignment horizontal="left" indent="1"/>
    </xf>
    <xf numFmtId="0" fontId="11" fillId="5" borderId="1" xfId="4" applyNumberFormat="1" applyFont="1" applyFill="1" applyBorder="1" applyAlignment="1" applyProtection="1">
      <alignment horizontal="left" indent="1"/>
    </xf>
    <xf numFmtId="0" fontId="11" fillId="5" borderId="3" xfId="2" quotePrefix="1" applyNumberFormat="1" applyFont="1" applyFill="1" applyBorder="1" applyAlignment="1" applyProtection="1">
      <alignment horizontal="left" indent="1"/>
    </xf>
    <xf numFmtId="0" fontId="11" fillId="5" borderId="3" xfId="2" applyNumberFormat="1" applyFont="1" applyFill="1" applyBorder="1" applyAlignment="1" applyProtection="1">
      <alignment horizontal="left" indent="1"/>
    </xf>
    <xf numFmtId="0" fontId="46" fillId="10" borderId="27" xfId="4" applyFont="1" applyFill="1" applyBorder="1" applyAlignment="1" applyProtection="1">
      <alignment horizontal="center" vertical="center"/>
    </xf>
    <xf numFmtId="0" fontId="46" fillId="10" borderId="30" xfId="4" applyFont="1" applyFill="1" applyBorder="1" applyAlignment="1" applyProtection="1">
      <alignment horizontal="center" vertical="center"/>
    </xf>
    <xf numFmtId="0" fontId="46" fillId="10" borderId="28" xfId="4" applyFont="1" applyFill="1" applyBorder="1" applyAlignment="1" applyProtection="1">
      <alignment horizontal="center" vertical="center"/>
    </xf>
    <xf numFmtId="0" fontId="38" fillId="9" borderId="3" xfId="4" applyFont="1" applyFill="1" applyBorder="1" applyAlignment="1" applyProtection="1">
      <alignment horizontal="left" vertical="center" indent="1"/>
      <protection locked="0"/>
    </xf>
    <xf numFmtId="164" fontId="40" fillId="3" borderId="20" xfId="2" applyNumberFormat="1" applyFont="1" applyFill="1" applyBorder="1" applyAlignment="1" applyProtection="1">
      <alignment horizontal="center" vertical="center"/>
    </xf>
    <xf numFmtId="164" fontId="40" fillId="3" borderId="2" xfId="2" applyNumberFormat="1" applyFont="1" applyFill="1" applyBorder="1" applyAlignment="1" applyProtection="1">
      <alignment horizontal="center" vertical="center"/>
    </xf>
    <xf numFmtId="164" fontId="40" fillId="3" borderId="23" xfId="2" applyNumberFormat="1" applyFont="1" applyFill="1" applyBorder="1" applyAlignment="1" applyProtection="1">
      <alignment horizontal="center" vertical="center"/>
    </xf>
    <xf numFmtId="0" fontId="9" fillId="0" borderId="15" xfId="4" applyFont="1" applyBorder="1" applyAlignment="1" applyProtection="1">
      <alignment horizontal="center" vertical="center"/>
    </xf>
    <xf numFmtId="0" fontId="9" fillId="0" borderId="9" xfId="4" applyFont="1" applyBorder="1" applyAlignment="1" applyProtection="1">
      <alignment horizontal="center" vertical="center"/>
    </xf>
    <xf numFmtId="0" fontId="9" fillId="0" borderId="10" xfId="4" applyFont="1" applyBorder="1" applyAlignment="1" applyProtection="1">
      <alignment horizontal="center" vertical="center"/>
    </xf>
    <xf numFmtId="0" fontId="12" fillId="9" borderId="13" xfId="4" applyFont="1" applyFill="1" applyBorder="1" applyAlignment="1" applyProtection="1">
      <alignment horizontal="left" vertical="top" wrapText="1" indent="1"/>
      <protection locked="0"/>
    </xf>
    <xf numFmtId="0" fontId="12" fillId="9" borderId="0" xfId="4" applyFont="1" applyFill="1" applyBorder="1" applyAlignment="1" applyProtection="1">
      <alignment horizontal="left" vertical="top" wrapText="1" indent="1"/>
      <protection locked="0"/>
    </xf>
    <xf numFmtId="0" fontId="12" fillId="9" borderId="11" xfId="4" applyFont="1" applyFill="1" applyBorder="1" applyAlignment="1" applyProtection="1">
      <alignment horizontal="left" vertical="top" wrapText="1" indent="1"/>
      <protection locked="0"/>
    </xf>
    <xf numFmtId="0" fontId="12" fillId="9" borderId="14" xfId="4" applyFont="1" applyFill="1" applyBorder="1" applyAlignment="1" applyProtection="1">
      <alignment horizontal="left" vertical="top" wrapText="1" indent="1"/>
      <protection locked="0"/>
    </xf>
    <xf numFmtId="0" fontId="12" fillId="9" borderId="8" xfId="4" applyFont="1" applyFill="1" applyBorder="1" applyAlignment="1" applyProtection="1">
      <alignment horizontal="left" vertical="top" wrapText="1" indent="1"/>
      <protection locked="0"/>
    </xf>
    <xf numFmtId="0" fontId="12" fillId="9" borderId="12" xfId="4" applyFont="1" applyFill="1" applyBorder="1" applyAlignment="1" applyProtection="1">
      <alignment horizontal="left" vertical="top" wrapText="1" indent="1"/>
      <protection locked="0"/>
    </xf>
    <xf numFmtId="0" fontId="7" fillId="5" borderId="13" xfId="4" applyFont="1" applyFill="1" applyBorder="1" applyAlignment="1" applyProtection="1">
      <alignment horizontal="left" vertical="center" wrapText="1" indent="1"/>
    </xf>
    <xf numFmtId="0" fontId="7" fillId="5" borderId="0" xfId="4" applyFont="1" applyFill="1" applyBorder="1" applyAlignment="1" applyProtection="1">
      <alignment horizontal="left" vertical="center" wrapText="1" indent="1"/>
    </xf>
    <xf numFmtId="0" fontId="7" fillId="5" borderId="11" xfId="4" applyFont="1" applyFill="1" applyBorder="1" applyAlignment="1" applyProtection="1">
      <alignment horizontal="left" vertical="center" wrapText="1" indent="1"/>
    </xf>
    <xf numFmtId="0" fontId="31" fillId="5" borderId="16" xfId="4" applyFont="1" applyFill="1" applyBorder="1" applyAlignment="1" applyProtection="1">
      <alignment horizontal="left" vertical="center" wrapText="1"/>
    </xf>
    <xf numFmtId="0" fontId="31" fillId="5" borderId="1" xfId="4" applyFont="1" applyFill="1" applyBorder="1" applyAlignment="1" applyProtection="1">
      <alignment horizontal="left" vertical="center" wrapText="1"/>
    </xf>
    <xf numFmtId="14" fontId="32" fillId="5" borderId="1" xfId="4" applyNumberFormat="1" applyFont="1" applyFill="1" applyBorder="1" applyAlignment="1" applyProtection="1">
      <alignment horizontal="left" vertical="center" wrapText="1"/>
    </xf>
    <xf numFmtId="14" fontId="32" fillId="5" borderId="31" xfId="4" applyNumberFormat="1" applyFont="1" applyFill="1" applyBorder="1" applyAlignment="1" applyProtection="1">
      <alignment horizontal="left" vertical="center" wrapText="1"/>
    </xf>
    <xf numFmtId="0" fontId="11" fillId="3" borderId="36" xfId="4" applyFont="1" applyFill="1" applyBorder="1" applyAlignment="1" applyProtection="1">
      <alignment horizontal="left" vertical="center" wrapText="1"/>
    </xf>
    <xf numFmtId="0" fontId="11" fillId="3" borderId="37" xfId="4" applyFont="1" applyFill="1" applyBorder="1" applyAlignment="1" applyProtection="1">
      <alignment horizontal="left" vertical="center" wrapText="1"/>
    </xf>
    <xf numFmtId="164" fontId="40" fillId="3" borderId="37" xfId="2" applyNumberFormat="1" applyFont="1" applyFill="1" applyBorder="1" applyAlignment="1" applyProtection="1">
      <alignment horizontal="center" vertical="center"/>
    </xf>
    <xf numFmtId="0" fontId="40" fillId="3" borderId="45" xfId="4" applyFont="1" applyFill="1" applyBorder="1" applyAlignment="1" applyProtection="1">
      <alignment horizontal="right" vertical="center"/>
    </xf>
    <xf numFmtId="0" fontId="40" fillId="3" borderId="3" xfId="4" applyFont="1" applyFill="1" applyBorder="1" applyAlignment="1" applyProtection="1">
      <alignment horizontal="right" vertical="center"/>
    </xf>
    <xf numFmtId="0" fontId="40" fillId="3" borderId="46" xfId="4" applyFont="1" applyFill="1" applyBorder="1" applyAlignment="1" applyProtection="1">
      <alignment horizontal="right" vertical="center"/>
    </xf>
    <xf numFmtId="0" fontId="37" fillId="0" borderId="20" xfId="4" applyFont="1" applyFill="1" applyBorder="1" applyAlignment="1" applyProtection="1">
      <alignment horizontal="center"/>
    </xf>
    <xf numFmtId="0" fontId="37" fillId="3" borderId="45" xfId="4" applyFont="1" applyFill="1" applyBorder="1" applyAlignment="1" applyProtection="1">
      <alignment horizontal="left" indent="1"/>
    </xf>
    <xf numFmtId="0" fontId="37" fillId="3" borderId="46" xfId="4" applyFont="1" applyFill="1" applyBorder="1" applyAlignment="1" applyProtection="1">
      <alignment horizontal="left" indent="1"/>
    </xf>
    <xf numFmtId="0" fontId="37" fillId="3" borderId="37" xfId="4" applyFont="1" applyFill="1" applyBorder="1" applyAlignment="1" applyProtection="1">
      <alignment horizontal="left" indent="1"/>
    </xf>
    <xf numFmtId="0" fontId="38" fillId="9" borderId="37" xfId="4" applyFont="1" applyFill="1" applyBorder="1" applyAlignment="1" applyProtection="1">
      <alignment horizontal="left" indent="1"/>
      <protection locked="0"/>
    </xf>
    <xf numFmtId="0" fontId="37" fillId="0" borderId="20" xfId="4" applyFont="1" applyFill="1" applyBorder="1" applyAlignment="1" applyProtection="1">
      <alignment horizontal="center"/>
      <protection locked="0"/>
    </xf>
    <xf numFmtId="0" fontId="38" fillId="9" borderId="45" xfId="4" applyFont="1" applyFill="1" applyBorder="1" applyAlignment="1" applyProtection="1">
      <alignment horizontal="left" indent="1"/>
      <protection locked="0"/>
    </xf>
    <xf numFmtId="0" fontId="38" fillId="9" borderId="3" xfId="4" applyFont="1" applyFill="1" applyBorder="1" applyAlignment="1" applyProtection="1">
      <alignment horizontal="left" indent="1"/>
      <protection locked="0"/>
    </xf>
    <xf numFmtId="0" fontId="38" fillId="9" borderId="46" xfId="4" applyFont="1" applyFill="1" applyBorder="1" applyAlignment="1" applyProtection="1">
      <alignment horizontal="left" indent="1"/>
      <protection locked="0"/>
    </xf>
    <xf numFmtId="164" fontId="40" fillId="3" borderId="6" xfId="2" applyNumberFormat="1" applyFont="1" applyFill="1" applyBorder="1" applyAlignment="1" applyProtection="1">
      <alignment horizontal="center" vertical="center"/>
    </xf>
    <xf numFmtId="164" fontId="40" fillId="3" borderId="22" xfId="2" applyNumberFormat="1" applyFont="1" applyFill="1" applyBorder="1" applyAlignment="1" applyProtection="1">
      <alignment horizontal="center" vertical="center"/>
    </xf>
    <xf numFmtId="0" fontId="8" fillId="3" borderId="14" xfId="4" applyFont="1" applyFill="1" applyBorder="1" applyAlignment="1" applyProtection="1">
      <alignment horizontal="center" wrapText="1"/>
    </xf>
    <xf numFmtId="0" fontId="8" fillId="3" borderId="8" xfId="4" applyFont="1" applyFill="1" applyBorder="1" applyAlignment="1" applyProtection="1">
      <alignment horizontal="center" wrapText="1"/>
    </xf>
    <xf numFmtId="0" fontId="11" fillId="3" borderId="38" xfId="4" applyFont="1" applyFill="1" applyBorder="1" applyAlignment="1" applyProtection="1">
      <alignment horizontal="left" vertical="center"/>
    </xf>
    <xf numFmtId="0" fontId="11" fillId="3" borderId="20" xfId="4" applyFont="1" applyFill="1" applyBorder="1" applyAlignment="1" applyProtection="1">
      <alignment horizontal="left" vertical="center"/>
    </xf>
    <xf numFmtId="0" fontId="11" fillId="3" borderId="32" xfId="4" applyFont="1" applyFill="1" applyBorder="1" applyAlignment="1" applyProtection="1">
      <alignment horizontal="left" vertical="center"/>
    </xf>
    <xf numFmtId="0" fontId="11" fillId="3" borderId="2" xfId="4" applyFont="1" applyFill="1" applyBorder="1" applyAlignment="1" applyProtection="1">
      <alignment horizontal="left" vertical="center"/>
    </xf>
    <xf numFmtId="0" fontId="11" fillId="3" borderId="26" xfId="4" applyFont="1" applyFill="1" applyBorder="1" applyAlignment="1" applyProtection="1">
      <alignment horizontal="left" vertical="center"/>
    </xf>
    <xf numFmtId="0" fontId="11" fillId="3" borderId="23" xfId="4" applyFont="1" applyFill="1" applyBorder="1" applyAlignment="1" applyProtection="1">
      <alignment horizontal="left" vertical="center"/>
    </xf>
    <xf numFmtId="0" fontId="37" fillId="3" borderId="42" xfId="4" applyFont="1" applyFill="1" applyBorder="1" applyAlignment="1" applyProtection="1">
      <alignment horizontal="left" indent="1"/>
    </xf>
    <xf numFmtId="0" fontId="37" fillId="3" borderId="43" xfId="4" applyFont="1" applyFill="1" applyBorder="1" applyAlignment="1" applyProtection="1">
      <alignment horizontal="left" indent="1"/>
    </xf>
    <xf numFmtId="0" fontId="9" fillId="5" borderId="15" xfId="4" applyFont="1" applyFill="1" applyBorder="1" applyAlignment="1" applyProtection="1">
      <alignment horizontal="center" vertical="center"/>
    </xf>
    <xf numFmtId="0" fontId="9" fillId="5" borderId="9" xfId="4" applyFont="1" applyFill="1" applyBorder="1" applyAlignment="1" applyProtection="1">
      <alignment horizontal="center" vertical="center"/>
    </xf>
    <xf numFmtId="0" fontId="9" fillId="5" borderId="10" xfId="4" applyFont="1" applyFill="1" applyBorder="1" applyAlignment="1" applyProtection="1">
      <alignment horizontal="center" vertical="center"/>
    </xf>
    <xf numFmtId="0" fontId="40" fillId="3" borderId="8" xfId="4" applyFont="1" applyFill="1" applyBorder="1" applyAlignment="1" applyProtection="1">
      <alignment horizontal="right" vertical="center"/>
    </xf>
    <xf numFmtId="0" fontId="11" fillId="3" borderId="36" xfId="4" applyFont="1" applyFill="1" applyBorder="1" applyAlignment="1" applyProtection="1">
      <alignment horizontal="left" vertical="center"/>
    </xf>
    <xf numFmtId="0" fontId="11" fillId="3" borderId="37" xfId="4" applyFont="1" applyFill="1" applyBorder="1" applyAlignment="1" applyProtection="1">
      <alignment horizontal="left" vertical="center"/>
    </xf>
    <xf numFmtId="0" fontId="11" fillId="3" borderId="25" xfId="4" applyFont="1" applyFill="1" applyBorder="1" applyAlignment="1" applyProtection="1">
      <alignment horizontal="left" vertical="center" wrapText="1"/>
    </xf>
    <xf numFmtId="0" fontId="11" fillId="3" borderId="6" xfId="4" applyFont="1" applyFill="1" applyBorder="1" applyAlignment="1" applyProtection="1">
      <alignment horizontal="left" vertical="center" wrapText="1"/>
    </xf>
    <xf numFmtId="0" fontId="40" fillId="3" borderId="57" xfId="4" applyFont="1" applyFill="1" applyBorder="1" applyAlignment="1" applyProtection="1">
      <alignment horizontal="right" vertical="center"/>
    </xf>
    <xf numFmtId="0" fontId="51" fillId="0" borderId="42" xfId="4" applyFont="1" applyFill="1" applyBorder="1" applyAlignment="1" applyProtection="1">
      <alignment horizontal="center" vertical="center"/>
    </xf>
    <xf numFmtId="0" fontId="51" fillId="0" borderId="44" xfId="4" applyFont="1" applyFill="1" applyBorder="1" applyAlignment="1" applyProtection="1">
      <alignment horizontal="center" vertical="center"/>
    </xf>
    <xf numFmtId="0" fontId="51" fillId="0" borderId="43" xfId="4" applyFont="1" applyFill="1" applyBorder="1" applyAlignment="1" applyProtection="1">
      <alignment horizontal="center" vertical="center"/>
    </xf>
    <xf numFmtId="0" fontId="38" fillId="9" borderId="42" xfId="4" applyFont="1" applyFill="1" applyBorder="1" applyAlignment="1" applyProtection="1">
      <alignment horizontal="left" indent="1"/>
      <protection locked="0"/>
    </xf>
    <xf numFmtId="0" fontId="38" fillId="9" borderId="44" xfId="4" applyFont="1" applyFill="1" applyBorder="1" applyAlignment="1" applyProtection="1">
      <alignment horizontal="left" indent="1"/>
      <protection locked="0"/>
    </xf>
    <xf numFmtId="0" fontId="38" fillId="9" borderId="43" xfId="4" applyFont="1" applyFill="1" applyBorder="1" applyAlignment="1" applyProtection="1">
      <alignment horizontal="left" indent="1"/>
      <protection locked="0"/>
    </xf>
    <xf numFmtId="0" fontId="11" fillId="3" borderId="25" xfId="4" applyFont="1" applyFill="1" applyBorder="1" applyAlignment="1" applyProtection="1">
      <alignment horizontal="left" vertical="center"/>
    </xf>
    <xf numFmtId="0" fontId="11" fillId="3" borderId="6" xfId="4" applyFont="1" applyFill="1" applyBorder="1" applyAlignment="1" applyProtection="1">
      <alignment horizontal="left" vertical="center"/>
    </xf>
    <xf numFmtId="0" fontId="37" fillId="0" borderId="2" xfId="4" applyFont="1" applyFill="1" applyBorder="1" applyAlignment="1" applyProtection="1">
      <alignment horizontal="center"/>
    </xf>
    <xf numFmtId="0" fontId="37" fillId="3" borderId="7" xfId="4" applyFont="1" applyFill="1" applyBorder="1" applyAlignment="1" applyProtection="1">
      <alignment horizontal="left" indent="1"/>
    </xf>
    <xf numFmtId="0" fontId="38" fillId="9" borderId="7" xfId="4" applyFont="1" applyFill="1" applyBorder="1" applyAlignment="1" applyProtection="1">
      <alignment horizontal="left" indent="1"/>
      <protection locked="0"/>
    </xf>
  </cellXfs>
  <cellStyles count="7">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s>
  <dxfs count="3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008000"/>
      <color rgb="FF382E6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15241</xdr:rowOff>
    </xdr:from>
    <xdr:to>
      <xdr:col>1</xdr:col>
      <xdr:colOff>99060</xdr:colOff>
      <xdr:row>3</xdr:row>
      <xdr:rowOff>134807</xdr:rowOff>
    </xdr:to>
    <xdr:pic>
      <xdr:nvPicPr>
        <xdr:cNvPr id="8" name="Picture 7">
          <a:extLst>
            <a:ext uri="{FF2B5EF4-FFF2-40B4-BE49-F238E27FC236}">
              <a16:creationId xmlns:a16="http://schemas.microsoft.com/office/drawing/2014/main" id="{9EF94316-8789-4777-AE36-94EDF61688EF}"/>
            </a:ext>
          </a:extLst>
        </xdr:cNvPr>
        <xdr:cNvPicPr>
          <a:picLocks noChangeAspect="1"/>
        </xdr:cNvPicPr>
      </xdr:nvPicPr>
      <xdr:blipFill>
        <a:blip xmlns:r="http://schemas.openxmlformats.org/officeDocument/2006/relationships" r:embed="rId1"/>
        <a:stretch>
          <a:fillRect/>
        </a:stretch>
      </xdr:blipFill>
      <xdr:spPr>
        <a:xfrm>
          <a:off x="15240" y="15241"/>
          <a:ext cx="822960" cy="7367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FBD7AB2E-3D41-4BD1-8754-34F9B21B7D5D}"/>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C0EA4957-C5DE-4037-9A17-A14E8C234A2F}"/>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26A39B6C-52F4-434C-93D8-C2E446631259}"/>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4240D43E-3EBA-48A3-92B6-4D947BA2903D}"/>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F57F61E9-525B-4C34-971F-9C4030E89347}"/>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4" name="Picture 3">
          <a:extLst>
            <a:ext uri="{FF2B5EF4-FFF2-40B4-BE49-F238E27FC236}">
              <a16:creationId xmlns:a16="http://schemas.microsoft.com/office/drawing/2014/main" id="{0A67ED69-FEB5-466F-845E-F8D8E0E4FDC5}"/>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FB8CA781-7FDA-448B-9CC2-6437FAE3D430}"/>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58CC76C1-85C1-4C01-BC10-D3090251AF24}"/>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4FB047C8-EE8F-4377-BCAF-6C81C62EC84B}"/>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4" name="Picture 3">
          <a:extLst>
            <a:ext uri="{FF2B5EF4-FFF2-40B4-BE49-F238E27FC236}">
              <a16:creationId xmlns:a16="http://schemas.microsoft.com/office/drawing/2014/main" id="{38939204-D741-454A-9F9A-124502CF8300}"/>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4" name="Picture 3">
          <a:extLst>
            <a:ext uri="{FF2B5EF4-FFF2-40B4-BE49-F238E27FC236}">
              <a16:creationId xmlns:a16="http://schemas.microsoft.com/office/drawing/2014/main" id="{91C6DB8F-1AEF-4EC5-98C2-61201183E382}"/>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200B8BFF-6D3E-4EE5-9B69-8A46A1768598}"/>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20Administration/Templates/Payment%20Request%20For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024%20Extracurricular%20Stipend%20Schedule%20and%20Payment%20Form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tion and Vendor Numbers"/>
      <sheetName val="Inst Repair"/>
      <sheetName val="New Unit"/>
      <sheetName val="Request 1 - One Payee"/>
      <sheetName val="School"/>
      <sheetName val="Sherri Catering"/>
      <sheetName val="Request 2 - Multiple Payees"/>
      <sheetName val="Request 3 - Sub During Prep"/>
      <sheetName val="Form W-9 Supplement"/>
      <sheetName val="USOE Mileage"/>
      <sheetName val="USOE Mileage 2"/>
      <sheetName val="Zions VISA"/>
      <sheetName val="Blank Employee"/>
      <sheetName val="Blank Employee (2)"/>
      <sheetName val="Keyboarding"/>
      <sheetName val="1005"/>
      <sheetName val="1016"/>
      <sheetName val="1017"/>
      <sheetName val="1020"/>
      <sheetName val="Blank"/>
      <sheetName val="Blank (2)"/>
      <sheetName val="Blank (3)"/>
      <sheetName val="Blank (5)"/>
      <sheetName val="Blank (6)"/>
      <sheetName val="Blank (7)"/>
      <sheetName val="Blank (8)"/>
      <sheetName val="Blank (9)"/>
      <sheetName val="Blank (10)"/>
      <sheetName val="Blank (11)"/>
      <sheetName val="Blank (12)"/>
      <sheetName val="1042-2 (2)"/>
      <sheetName val="1015"/>
      <sheetName val="1018"/>
      <sheetName val="1025"/>
      <sheetName val="1038"/>
      <sheetName val="1039"/>
      <sheetName val="1040"/>
      <sheetName val="1040-2"/>
      <sheetName val="1040-3"/>
      <sheetName val="1042"/>
      <sheetName val="1042-2"/>
      <sheetName val="1043"/>
      <sheetName val="1046"/>
      <sheetName val="1056"/>
      <sheetName val="1056-2"/>
      <sheetName val="1056-3"/>
      <sheetName val="1056-3 (2)"/>
      <sheetName val="1059"/>
      <sheetName val="1060"/>
      <sheetName val="Insurance"/>
      <sheetName val="1090"/>
      <sheetName val="1094"/>
      <sheetName val="1096"/>
      <sheetName val="1096 (2)"/>
      <sheetName val="1097"/>
      <sheetName val="1097 (2)"/>
      <sheetName val="1098"/>
      <sheetName val="1098(2)"/>
      <sheetName val="1100"/>
      <sheetName val="1150"/>
      <sheetName val="1180"/>
      <sheetName val="1181"/>
      <sheetName val="1183-1"/>
      <sheetName val="1183-2"/>
      <sheetName val="1183-3"/>
      <sheetName val="1194"/>
      <sheetName val="UASSP"/>
      <sheetName val="UAESP"/>
      <sheetName val="3200"/>
      <sheetName val="3220"/>
      <sheetName val="3320-1"/>
      <sheetName val="3320-2"/>
      <sheetName val="3320-3"/>
      <sheetName val="3360"/>
      <sheetName val="3362"/>
      <sheetName val="3380"/>
      <sheetName val="3380 (2)"/>
      <sheetName val="3380 (3)"/>
      <sheetName val="Nettina"/>
      <sheetName val="3400"/>
      <sheetName val="3400 (2)"/>
      <sheetName val="Settlements"/>
      <sheetName val="3430"/>
      <sheetName val="3450 - UVU Prep"/>
      <sheetName val="3450-2"/>
      <sheetName val="3480"/>
      <sheetName val="3480 (2)"/>
      <sheetName val="Blank 5"/>
      <sheetName val="Blank 6"/>
      <sheetName val="Blank 7"/>
      <sheetName val="Work4orce"/>
      <sheetName val="5114"/>
      <sheetName val="5346"/>
      <sheetName val="5346-2"/>
      <sheetName val="5346-3"/>
      <sheetName val="5365"/>
      <sheetName val="5366"/>
      <sheetName val="5367"/>
      <sheetName val="5367-2"/>
      <sheetName val="5386"/>
      <sheetName val="5600"/>
      <sheetName val="5600 (2)"/>
      <sheetName val="5627"/>
      <sheetName val="5644"/>
      <sheetName val="5710"/>
      <sheetName val="5760"/>
      <sheetName val="5760 (2)"/>
      <sheetName val="5760 (3)"/>
      <sheetName val="5825"/>
      <sheetName val="5845"/>
      <sheetName val="5855"/>
      <sheetName val="5855-2"/>
      <sheetName val="6150"/>
      <sheetName val="7508"/>
      <sheetName val="7514"/>
      <sheetName val="7515-1"/>
      <sheetName val="7515-2"/>
      <sheetName val="7515-3"/>
      <sheetName val="7515-4"/>
      <sheetName val="7515-4 (2)"/>
      <sheetName val="7656"/>
      <sheetName val="7656 (2)"/>
      <sheetName val="7705"/>
      <sheetName val="7705-2"/>
      <sheetName val="7715"/>
      <sheetName val="Canvas"/>
      <sheetName val="Conf (with limit)"/>
      <sheetName val="Resource Officer"/>
      <sheetName val="Property"/>
      <sheetName val="Property (2)"/>
      <sheetName val="Property (3)"/>
      <sheetName val="Property (4)"/>
      <sheetName val="Property (5)"/>
      <sheetName val="Property (6)"/>
      <sheetName val="Induction"/>
      <sheetName val="CITES"/>
      <sheetName val="CITES 2"/>
      <sheetName val="CITES 2 (2)"/>
      <sheetName val="CITES 3"/>
      <sheetName val="Milliman"/>
      <sheetName val="Overtime"/>
      <sheetName val="Overtime 2"/>
      <sheetName val="Lost Vac"/>
      <sheetName val="Bonus"/>
      <sheetName val="ParentLink"/>
      <sheetName val="Audit"/>
      <sheetName val="Internal Audit"/>
      <sheetName val="Infinite"/>
      <sheetName val="X-mas Card Awards"/>
      <sheetName val="Medicaid"/>
      <sheetName val="Medicaid (2)"/>
      <sheetName val="Migrant Dental"/>
      <sheetName val="Migrant Immunizations"/>
      <sheetName val="Miles"/>
      <sheetName val="Per Diem"/>
      <sheetName val="Cyber"/>
      <sheetName val="Workers Comp (2)"/>
      <sheetName val="Worker Comp"/>
      <sheetName val="UGFOA"/>
      <sheetName val="UGFOA Conf Travel"/>
      <sheetName val="GFOA"/>
      <sheetName val="GFOA Conf"/>
      <sheetName val="UACPA"/>
      <sheetName val="USBA (1)"/>
      <sheetName val="USBA (2)"/>
      <sheetName val="USBA Risk"/>
      <sheetName val="UASBO Conf Fee"/>
      <sheetName val="UASBO Conf"/>
      <sheetName val="UASBO Conf Travel"/>
      <sheetName val="Mileage Jesse"/>
      <sheetName val="ASBO Conf"/>
      <sheetName val="ASBO Conf (2)"/>
      <sheetName val="NSBA Conf"/>
      <sheetName val="NSBA Conf (2)"/>
      <sheetName val="NSBA Conf (3)"/>
      <sheetName val="Alio Conf"/>
      <sheetName val="Alio Conf 2"/>
      <sheetName val="Alio Conf 3"/>
      <sheetName val="Utah Alio Conf"/>
      <sheetName val="Squire Training"/>
      <sheetName val="Form 945"/>
      <sheetName val="Blomquist"/>
      <sheetName val="Kelly"/>
      <sheetName val="EMA Support"/>
      <sheetName val="TCP"/>
      <sheetName val="TCP 2"/>
      <sheetName val="Weidenhammer 2"/>
      <sheetName val="Liability Ins"/>
      <sheetName val="Prop Ins"/>
      <sheetName val="Weidenhammer"/>
      <sheetName val="Visa"/>
      <sheetName val="Bond Issuance"/>
      <sheetName val="Bond Issuance (2)"/>
      <sheetName val="Bond Issuance (3)"/>
      <sheetName val="Bond Issuance (4)"/>
      <sheetName val="Bond Rating"/>
      <sheetName val="Bond Rating 2"/>
      <sheetName val="Paying Agent GO"/>
      <sheetName val="Paying Agent LBA"/>
      <sheetName val="Bond Escrow"/>
      <sheetName val="LBA Good Faith "/>
      <sheetName val="Debt Service"/>
      <sheetName val="Debt Service (2)"/>
      <sheetName val="Moreton"/>
      <sheetName val="Moreton 2"/>
      <sheetName val="Treasurer's Bond"/>
      <sheetName val="ObserverTab"/>
      <sheetName val="Sheet1 (17)"/>
      <sheetName val="Invoice"/>
      <sheetName val="Blank (4)"/>
      <sheetName val="7693"/>
      <sheetName val="Workers Comp"/>
      <sheetName val="USBA"/>
      <sheetName val="Blank 2"/>
      <sheetName val="Haley"/>
      <sheetName val="Paying Agent"/>
      <sheetName val="1016 (2)"/>
      <sheetName val="Blank 3"/>
      <sheetName val="1039-2"/>
      <sheetName val="5114 (2)"/>
      <sheetName val="1183"/>
      <sheetName val="UASBO fees"/>
      <sheetName val="1043-611"/>
      <sheetName val="AP"/>
      <sheetName val="Alio"/>
      <sheetName val="Indian"/>
      <sheetName val="Risk Mgmt"/>
      <sheetName val="UVU Prep"/>
      <sheetName val="Mileage"/>
      <sheetName val="Cash Advance"/>
      <sheetName val="UASBO miles and per diem"/>
      <sheetName val="Alio AZ Conf"/>
      <sheetName val="Alio AZ Conf (2)"/>
      <sheetName val="IBM"/>
      <sheetName val="Sales Tax"/>
      <sheetName val="5366-2"/>
      <sheetName val="Conf"/>
      <sheetName val="EMA"/>
      <sheetName val="COBRA"/>
      <sheetName val="4-H"/>
      <sheetName val="4-H (4)"/>
      <sheetName val="4-H (2)"/>
      <sheetName val="NRC (2)"/>
      <sheetName val="NRC (3)"/>
      <sheetName val="Science Plus"/>
      <sheetName val="Science Plus (2)"/>
      <sheetName val="Science Plus (5)"/>
      <sheetName val="Science Plus (4)"/>
      <sheetName val="Science Plus (3)"/>
      <sheetName val="Retainage"/>
      <sheetName val="Blank2"/>
    </sheetNames>
    <sheetDataSet>
      <sheetData sheetId="0">
        <row r="6">
          <cell r="A6">
            <v>100</v>
          </cell>
        </row>
        <row r="7">
          <cell r="A7">
            <v>102</v>
          </cell>
        </row>
        <row r="8">
          <cell r="A8">
            <v>104</v>
          </cell>
        </row>
        <row r="9">
          <cell r="A9">
            <v>108</v>
          </cell>
        </row>
        <row r="10">
          <cell r="A10">
            <v>112</v>
          </cell>
        </row>
        <row r="11">
          <cell r="A11">
            <v>116</v>
          </cell>
        </row>
        <row r="12">
          <cell r="A12">
            <v>117</v>
          </cell>
        </row>
        <row r="13">
          <cell r="A13">
            <v>118</v>
          </cell>
        </row>
        <row r="14">
          <cell r="A14">
            <v>119</v>
          </cell>
        </row>
        <row r="15">
          <cell r="A15">
            <v>120</v>
          </cell>
        </row>
        <row r="16">
          <cell r="A16">
            <v>130</v>
          </cell>
        </row>
        <row r="17">
          <cell r="A17">
            <v>136</v>
          </cell>
        </row>
        <row r="18">
          <cell r="A18">
            <v>138</v>
          </cell>
        </row>
        <row r="19">
          <cell r="A19">
            <v>140</v>
          </cell>
        </row>
        <row r="20">
          <cell r="A20">
            <v>141</v>
          </cell>
        </row>
        <row r="21">
          <cell r="A21">
            <v>142</v>
          </cell>
        </row>
        <row r="22">
          <cell r="A22">
            <v>143</v>
          </cell>
        </row>
        <row r="23">
          <cell r="A23">
            <v>144</v>
          </cell>
        </row>
        <row r="24">
          <cell r="A24">
            <v>148</v>
          </cell>
        </row>
        <row r="25">
          <cell r="A25">
            <v>156</v>
          </cell>
        </row>
        <row r="26">
          <cell r="A26">
            <v>158</v>
          </cell>
        </row>
        <row r="27">
          <cell r="A27">
            <v>160</v>
          </cell>
        </row>
        <row r="28">
          <cell r="A28">
            <v>164</v>
          </cell>
        </row>
        <row r="29">
          <cell r="A29">
            <v>168</v>
          </cell>
        </row>
        <row r="30">
          <cell r="A30">
            <v>169</v>
          </cell>
        </row>
        <row r="31">
          <cell r="A31">
            <v>170</v>
          </cell>
        </row>
        <row r="32">
          <cell r="A32">
            <v>171</v>
          </cell>
        </row>
        <row r="33">
          <cell r="A33">
            <v>172</v>
          </cell>
        </row>
        <row r="34">
          <cell r="A34">
            <v>180</v>
          </cell>
        </row>
        <row r="35">
          <cell r="A35">
            <v>184</v>
          </cell>
        </row>
        <row r="36">
          <cell r="A36">
            <v>402</v>
          </cell>
        </row>
        <row r="37">
          <cell r="A37">
            <v>404</v>
          </cell>
        </row>
        <row r="38">
          <cell r="A38">
            <v>406</v>
          </cell>
        </row>
        <row r="39">
          <cell r="A39">
            <v>408</v>
          </cell>
        </row>
        <row r="40">
          <cell r="A40">
            <v>416</v>
          </cell>
        </row>
        <row r="41">
          <cell r="A41">
            <v>420</v>
          </cell>
        </row>
        <row r="42">
          <cell r="A42">
            <v>424</v>
          </cell>
        </row>
        <row r="43">
          <cell r="A43">
            <v>640</v>
          </cell>
        </row>
        <row r="44">
          <cell r="A44">
            <v>702</v>
          </cell>
        </row>
        <row r="45">
          <cell r="A45">
            <v>704</v>
          </cell>
        </row>
        <row r="46">
          <cell r="A46">
            <v>706</v>
          </cell>
        </row>
        <row r="47">
          <cell r="A47">
            <v>708</v>
          </cell>
        </row>
        <row r="48">
          <cell r="A48">
            <v>712</v>
          </cell>
        </row>
        <row r="49">
          <cell r="A49">
            <v>720</v>
          </cell>
        </row>
        <row r="50">
          <cell r="A50">
            <v>735</v>
          </cell>
        </row>
        <row r="51">
          <cell r="A51">
            <v>745</v>
          </cell>
        </row>
        <row r="52">
          <cell r="A52">
            <v>746</v>
          </cell>
        </row>
        <row r="53">
          <cell r="A53">
            <v>747</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refreshError="1"/>
      <sheetData sheetId="16" refreshError="1"/>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sheetData sheetId="33" refreshError="1"/>
      <sheetData sheetId="34"/>
      <sheetData sheetId="35"/>
      <sheetData sheetId="36"/>
      <sheetData sheetId="37" refreshError="1"/>
      <sheetData sheetId="38" refreshError="1"/>
      <sheetData sheetId="39"/>
      <sheetData sheetId="40" refreshError="1"/>
      <sheetData sheetId="41"/>
      <sheetData sheetId="42"/>
      <sheetData sheetId="43"/>
      <sheetData sheetId="44"/>
      <sheetData sheetId="45" refreshError="1"/>
      <sheetData sheetId="46" refreshError="1"/>
      <sheetData sheetId="47"/>
      <sheetData sheetId="48"/>
      <sheetData sheetId="49"/>
      <sheetData sheetId="50"/>
      <sheetData sheetId="51"/>
      <sheetData sheetId="52"/>
      <sheetData sheetId="53"/>
      <sheetData sheetId="54"/>
      <sheetData sheetId="55"/>
      <sheetData sheetId="56" refreshError="1"/>
      <sheetData sheetId="57" refreshError="1"/>
      <sheetData sheetId="58"/>
      <sheetData sheetId="59" refreshError="1"/>
      <sheetData sheetId="60"/>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refreshError="1"/>
      <sheetData sheetId="76"/>
      <sheetData sheetId="77"/>
      <sheetData sheetId="78" refreshError="1"/>
      <sheetData sheetId="79" refreshError="1"/>
      <sheetData sheetId="80" refreshError="1"/>
      <sheetData sheetId="81" refreshError="1"/>
      <sheetData sheetId="82"/>
      <sheetData sheetId="83"/>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refreshError="1"/>
      <sheetData sheetId="98" refreshError="1"/>
      <sheetData sheetId="99"/>
      <sheetData sheetId="100"/>
      <sheetData sheetId="101"/>
      <sheetData sheetId="102"/>
      <sheetData sheetId="103" refreshError="1"/>
      <sheetData sheetId="104"/>
      <sheetData sheetId="105"/>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sheetData sheetId="123" refreshError="1"/>
      <sheetData sheetId="124"/>
      <sheetData sheetId="125"/>
      <sheetData sheetId="126"/>
      <sheetData sheetId="127"/>
      <sheetData sheetId="128"/>
      <sheetData sheetId="129" refreshError="1"/>
      <sheetData sheetId="130" refreshError="1"/>
      <sheetData sheetId="131"/>
      <sheetData sheetId="132"/>
      <sheetData sheetId="133"/>
      <sheetData sheetId="134"/>
      <sheetData sheetId="135"/>
      <sheetData sheetId="136"/>
      <sheetData sheetId="137" refreshError="1"/>
      <sheetData sheetId="138"/>
      <sheetData sheetId="139"/>
      <sheetData sheetId="140"/>
      <sheetData sheetId="141"/>
      <sheetData sheetId="142" refreshError="1"/>
      <sheetData sheetId="143" refreshError="1"/>
      <sheetData sheetId="144"/>
      <sheetData sheetId="145"/>
      <sheetData sheetId="146"/>
      <sheetData sheetId="147"/>
      <sheetData sheetId="148"/>
      <sheetData sheetId="149"/>
      <sheetData sheetId="150" refreshError="1"/>
      <sheetData sheetId="151"/>
      <sheetData sheetId="152"/>
      <sheetData sheetId="153"/>
      <sheetData sheetId="154"/>
      <sheetData sheetId="155"/>
      <sheetData sheetId="156" refreshError="1"/>
      <sheetData sheetId="157" refreshError="1"/>
      <sheetData sheetId="158"/>
      <sheetData sheetId="159"/>
      <sheetData sheetId="160"/>
      <sheetData sheetId="161"/>
      <sheetData sheetId="162"/>
      <sheetData sheetId="163"/>
      <sheetData sheetId="164"/>
      <sheetData sheetId="165" refreshError="1"/>
      <sheetData sheetId="166"/>
      <sheetData sheetId="167"/>
      <sheetData sheetId="168" refreshError="1"/>
      <sheetData sheetId="169"/>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sheetData sheetId="190"/>
      <sheetData sheetId="191"/>
      <sheetData sheetId="192" refreshError="1"/>
      <sheetData sheetId="193"/>
      <sheetData sheetId="194"/>
      <sheetData sheetId="195"/>
      <sheetData sheetId="196"/>
      <sheetData sheetId="197" refreshError="1"/>
      <sheetData sheetId="198" refreshError="1"/>
      <sheetData sheetId="199"/>
      <sheetData sheetId="200" refreshError="1"/>
      <sheetData sheetId="20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refreshError="1"/>
      <sheetData sheetId="215"/>
      <sheetData sheetId="216" refreshError="1"/>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 - Positions and Funding"/>
      <sheetName val="HS - Lane and Step Schedule"/>
      <sheetName val="HS - Fall Sports"/>
      <sheetName val="HS - Fall Activities"/>
      <sheetName val="HS - Year Round Sports"/>
      <sheetName val="HS - Year Round Activities"/>
      <sheetName val="HS - Oversight"/>
      <sheetName val="HS - Winter Sports"/>
      <sheetName val="HS - Winter Activities"/>
      <sheetName val="HS - Spring Sports"/>
      <sheetName val="JHS - Positions and Funding"/>
      <sheetName val="JHS - Fall Sports"/>
      <sheetName val="JHS - Year Round Activities"/>
      <sheetName val="JHS - Oversight"/>
      <sheetName val="JHS - Winter Sports"/>
      <sheetName val="JHS - Spring Sports"/>
      <sheetName val="Tables"/>
    </sheetNames>
    <sheetDataSet>
      <sheetData sheetId="0"/>
      <sheetData sheetId="1">
        <row r="7">
          <cell r="C7">
            <v>5797</v>
          </cell>
          <cell r="E7">
            <v>3924</v>
          </cell>
          <cell r="G7">
            <v>3549</v>
          </cell>
          <cell r="I7">
            <v>3174</v>
          </cell>
          <cell r="K7">
            <v>2799</v>
          </cell>
          <cell r="M7">
            <v>2425</v>
          </cell>
          <cell r="O7">
            <v>2200</v>
          </cell>
          <cell r="Q7">
            <v>1975</v>
          </cell>
          <cell r="S7">
            <v>1300</v>
          </cell>
          <cell r="U7">
            <v>926</v>
          </cell>
        </row>
        <row r="8">
          <cell r="C8">
            <v>5797</v>
          </cell>
          <cell r="E8">
            <v>3924</v>
          </cell>
          <cell r="G8">
            <v>3549</v>
          </cell>
          <cell r="I8">
            <v>3174</v>
          </cell>
          <cell r="K8">
            <v>2799</v>
          </cell>
          <cell r="M8">
            <v>2425</v>
          </cell>
          <cell r="O8">
            <v>2200</v>
          </cell>
          <cell r="Q8">
            <v>1975</v>
          </cell>
          <cell r="S8">
            <v>1300</v>
          </cell>
          <cell r="U8">
            <v>926</v>
          </cell>
        </row>
        <row r="9">
          <cell r="C9">
            <v>5797</v>
          </cell>
          <cell r="E9">
            <v>3924</v>
          </cell>
          <cell r="G9">
            <v>3549</v>
          </cell>
          <cell r="I9">
            <v>3174</v>
          </cell>
          <cell r="K9">
            <v>2799</v>
          </cell>
          <cell r="M9">
            <v>2425</v>
          </cell>
          <cell r="O9">
            <v>2200</v>
          </cell>
          <cell r="Q9">
            <v>1975</v>
          </cell>
          <cell r="S9">
            <v>1300</v>
          </cell>
          <cell r="U9">
            <v>926</v>
          </cell>
        </row>
        <row r="10">
          <cell r="C10">
            <v>6087</v>
          </cell>
          <cell r="E10">
            <v>4120</v>
          </cell>
          <cell r="G10">
            <v>3726</v>
          </cell>
          <cell r="I10">
            <v>3333</v>
          </cell>
          <cell r="K10">
            <v>2939</v>
          </cell>
          <cell r="M10">
            <v>2546</v>
          </cell>
          <cell r="O10">
            <v>2310</v>
          </cell>
          <cell r="Q10">
            <v>2074</v>
          </cell>
          <cell r="S10">
            <v>1365</v>
          </cell>
          <cell r="U10">
            <v>972</v>
          </cell>
        </row>
        <row r="11">
          <cell r="C11">
            <v>6087</v>
          </cell>
          <cell r="E11">
            <v>4120</v>
          </cell>
          <cell r="G11">
            <v>3726</v>
          </cell>
          <cell r="I11">
            <v>3333</v>
          </cell>
          <cell r="K11">
            <v>2939</v>
          </cell>
          <cell r="M11">
            <v>2546</v>
          </cell>
          <cell r="O11">
            <v>2310</v>
          </cell>
          <cell r="Q11">
            <v>2074</v>
          </cell>
          <cell r="S11">
            <v>1365</v>
          </cell>
          <cell r="U11">
            <v>972</v>
          </cell>
        </row>
        <row r="12">
          <cell r="C12">
            <v>6087</v>
          </cell>
          <cell r="E12">
            <v>4120</v>
          </cell>
          <cell r="G12">
            <v>3726</v>
          </cell>
          <cell r="I12">
            <v>3333</v>
          </cell>
          <cell r="K12">
            <v>2939</v>
          </cell>
          <cell r="M12">
            <v>2546</v>
          </cell>
          <cell r="O12">
            <v>2310</v>
          </cell>
          <cell r="Q12">
            <v>2074</v>
          </cell>
          <cell r="S12">
            <v>1365</v>
          </cell>
          <cell r="U12">
            <v>972</v>
          </cell>
        </row>
        <row r="13">
          <cell r="C13">
            <v>6391</v>
          </cell>
          <cell r="E13">
            <v>4326</v>
          </cell>
          <cell r="G13">
            <v>3913</v>
          </cell>
          <cell r="I13">
            <v>3499</v>
          </cell>
          <cell r="K13">
            <v>3086</v>
          </cell>
          <cell r="M13">
            <v>2673</v>
          </cell>
          <cell r="O13">
            <v>2425</v>
          </cell>
          <cell r="Q13">
            <v>2177</v>
          </cell>
          <cell r="S13">
            <v>1434</v>
          </cell>
          <cell r="U13">
            <v>1020</v>
          </cell>
        </row>
        <row r="14">
          <cell r="C14">
            <v>6391</v>
          </cell>
          <cell r="E14">
            <v>4326</v>
          </cell>
          <cell r="G14">
            <v>3913</v>
          </cell>
          <cell r="I14">
            <v>3499</v>
          </cell>
          <cell r="K14">
            <v>3086</v>
          </cell>
          <cell r="M14">
            <v>2673</v>
          </cell>
          <cell r="O14">
            <v>2425</v>
          </cell>
          <cell r="Q14">
            <v>2177</v>
          </cell>
          <cell r="S14">
            <v>1434</v>
          </cell>
          <cell r="U14">
            <v>1020</v>
          </cell>
        </row>
        <row r="15">
          <cell r="C15">
            <v>6391</v>
          </cell>
          <cell r="E15">
            <v>4326</v>
          </cell>
          <cell r="G15">
            <v>3913</v>
          </cell>
          <cell r="I15">
            <v>3499</v>
          </cell>
          <cell r="K15">
            <v>3086</v>
          </cell>
          <cell r="M15">
            <v>2673</v>
          </cell>
          <cell r="O15">
            <v>2425</v>
          </cell>
          <cell r="Q15">
            <v>2177</v>
          </cell>
          <cell r="S15">
            <v>1434</v>
          </cell>
          <cell r="U15">
            <v>1020</v>
          </cell>
        </row>
        <row r="16">
          <cell r="C16">
            <v>6711</v>
          </cell>
          <cell r="E16">
            <v>4542</v>
          </cell>
          <cell r="G16">
            <v>4108</v>
          </cell>
          <cell r="I16">
            <v>3674</v>
          </cell>
          <cell r="K16">
            <v>3241</v>
          </cell>
          <cell r="M16">
            <v>2807</v>
          </cell>
          <cell r="O16">
            <v>2546</v>
          </cell>
          <cell r="Q16">
            <v>2286</v>
          </cell>
          <cell r="S16">
            <v>1505</v>
          </cell>
          <cell r="U16">
            <v>1072</v>
          </cell>
        </row>
        <row r="17">
          <cell r="C17">
            <v>6711</v>
          </cell>
          <cell r="E17">
            <v>4542</v>
          </cell>
          <cell r="G17">
            <v>4108</v>
          </cell>
          <cell r="I17">
            <v>3674</v>
          </cell>
          <cell r="K17">
            <v>3241</v>
          </cell>
          <cell r="M17">
            <v>2807</v>
          </cell>
          <cell r="O17">
            <v>2546</v>
          </cell>
          <cell r="Q17">
            <v>2286</v>
          </cell>
          <cell r="S17">
            <v>1505</v>
          </cell>
          <cell r="U17">
            <v>1072</v>
          </cell>
        </row>
        <row r="18">
          <cell r="C18">
            <v>6711</v>
          </cell>
          <cell r="E18">
            <v>4542</v>
          </cell>
          <cell r="G18">
            <v>4108</v>
          </cell>
          <cell r="I18">
            <v>3674</v>
          </cell>
          <cell r="K18">
            <v>3241</v>
          </cell>
          <cell r="M18">
            <v>2807</v>
          </cell>
          <cell r="O18">
            <v>2546</v>
          </cell>
          <cell r="Q18">
            <v>2286</v>
          </cell>
          <cell r="S18">
            <v>1505</v>
          </cell>
          <cell r="U18">
            <v>1072</v>
          </cell>
        </row>
        <row r="19">
          <cell r="C19">
            <v>6778</v>
          </cell>
          <cell r="E19">
            <v>4587</v>
          </cell>
          <cell r="G19">
            <v>4149</v>
          </cell>
          <cell r="I19">
            <v>3711</v>
          </cell>
          <cell r="K19">
            <v>3273</v>
          </cell>
          <cell r="M19">
            <v>2835</v>
          </cell>
          <cell r="O19">
            <v>2572</v>
          </cell>
          <cell r="Q19">
            <v>2309</v>
          </cell>
          <cell r="S19">
            <v>1520</v>
          </cell>
          <cell r="U19">
            <v>1082</v>
          </cell>
        </row>
        <row r="20">
          <cell r="C20">
            <v>6778</v>
          </cell>
          <cell r="E20">
            <v>4587</v>
          </cell>
          <cell r="G20">
            <v>4149</v>
          </cell>
          <cell r="I20">
            <v>3711</v>
          </cell>
          <cell r="K20">
            <v>3273</v>
          </cell>
          <cell r="M20">
            <v>2835</v>
          </cell>
          <cell r="O20">
            <v>2572</v>
          </cell>
          <cell r="Q20">
            <v>2309</v>
          </cell>
          <cell r="S20">
            <v>1520</v>
          </cell>
          <cell r="U20">
            <v>1082</v>
          </cell>
        </row>
        <row r="21">
          <cell r="C21">
            <v>6778</v>
          </cell>
          <cell r="E21">
            <v>4587</v>
          </cell>
          <cell r="G21">
            <v>4149</v>
          </cell>
          <cell r="I21">
            <v>3711</v>
          </cell>
          <cell r="K21">
            <v>3273</v>
          </cell>
          <cell r="M21">
            <v>2835</v>
          </cell>
          <cell r="O21">
            <v>2572</v>
          </cell>
          <cell r="Q21">
            <v>2309</v>
          </cell>
          <cell r="S21">
            <v>1520</v>
          </cell>
          <cell r="U21">
            <v>1082</v>
          </cell>
        </row>
        <row r="22">
          <cell r="C22">
            <v>6846</v>
          </cell>
          <cell r="E22">
            <v>4633</v>
          </cell>
          <cell r="G22">
            <v>4191</v>
          </cell>
          <cell r="I22">
            <v>3748</v>
          </cell>
          <cell r="K22">
            <v>3306</v>
          </cell>
          <cell r="M22">
            <v>2863</v>
          </cell>
          <cell r="O22">
            <v>2598</v>
          </cell>
          <cell r="Q22">
            <v>2332</v>
          </cell>
          <cell r="S22">
            <v>1536</v>
          </cell>
          <cell r="U22">
            <v>1093</v>
          </cell>
        </row>
        <row r="23">
          <cell r="C23">
            <v>6846</v>
          </cell>
          <cell r="E23">
            <v>4633</v>
          </cell>
          <cell r="G23">
            <v>4191</v>
          </cell>
          <cell r="I23">
            <v>3748</v>
          </cell>
          <cell r="K23">
            <v>3306</v>
          </cell>
          <cell r="M23">
            <v>2863</v>
          </cell>
          <cell r="O23">
            <v>2598</v>
          </cell>
          <cell r="Q23">
            <v>2332</v>
          </cell>
          <cell r="S23">
            <v>1536</v>
          </cell>
          <cell r="U23">
            <v>1093</v>
          </cell>
        </row>
        <row r="24">
          <cell r="C24">
            <v>6846</v>
          </cell>
          <cell r="E24">
            <v>4633</v>
          </cell>
          <cell r="G24">
            <v>4191</v>
          </cell>
          <cell r="I24">
            <v>3748</v>
          </cell>
          <cell r="K24">
            <v>3306</v>
          </cell>
          <cell r="M24">
            <v>2863</v>
          </cell>
          <cell r="O24">
            <v>2598</v>
          </cell>
          <cell r="Q24">
            <v>2332</v>
          </cell>
          <cell r="S24">
            <v>1536</v>
          </cell>
          <cell r="U24">
            <v>1093</v>
          </cell>
        </row>
        <row r="25">
          <cell r="C25">
            <v>6914</v>
          </cell>
          <cell r="E25">
            <v>4680</v>
          </cell>
          <cell r="G25">
            <v>4233</v>
          </cell>
          <cell r="I25">
            <v>3786</v>
          </cell>
          <cell r="K25">
            <v>3339</v>
          </cell>
          <cell r="M25">
            <v>2892</v>
          </cell>
          <cell r="O25">
            <v>2624</v>
          </cell>
          <cell r="Q25">
            <v>2355</v>
          </cell>
          <cell r="S25">
            <v>1551</v>
          </cell>
          <cell r="U25">
            <v>1104</v>
          </cell>
        </row>
      </sheetData>
      <sheetData sheetId="2"/>
      <sheetData sheetId="3"/>
      <sheetData sheetId="4"/>
      <sheetData sheetId="5"/>
      <sheetData sheetId="6"/>
      <sheetData sheetId="7"/>
      <sheetData sheetId="8"/>
      <sheetData sheetId="9"/>
      <sheetData sheetId="10">
        <row r="6">
          <cell r="B6">
            <v>2040</v>
          </cell>
        </row>
        <row r="7">
          <cell r="B7">
            <v>0</v>
          </cell>
        </row>
        <row r="8">
          <cell r="B8">
            <v>1589</v>
          </cell>
        </row>
        <row r="9">
          <cell r="B9">
            <v>918</v>
          </cell>
        </row>
        <row r="10">
          <cell r="B10">
            <v>1589</v>
          </cell>
        </row>
        <row r="11">
          <cell r="B11">
            <v>918</v>
          </cell>
        </row>
        <row r="12">
          <cell r="B12">
            <v>612</v>
          </cell>
        </row>
        <row r="13">
          <cell r="B13">
            <v>367</v>
          </cell>
        </row>
        <row r="14">
          <cell r="B14">
            <v>612</v>
          </cell>
        </row>
        <row r="15">
          <cell r="B15">
            <v>367</v>
          </cell>
        </row>
        <row r="16">
          <cell r="B16">
            <v>1414</v>
          </cell>
        </row>
        <row r="17">
          <cell r="B17">
            <v>0</v>
          </cell>
        </row>
        <row r="18">
          <cell r="B18">
            <v>612</v>
          </cell>
        </row>
        <row r="19">
          <cell r="B19">
            <v>367</v>
          </cell>
        </row>
        <row r="20">
          <cell r="B20">
            <v>612</v>
          </cell>
        </row>
        <row r="21">
          <cell r="B21">
            <v>367</v>
          </cell>
        </row>
        <row r="22">
          <cell r="B22">
            <v>612</v>
          </cell>
        </row>
        <row r="23">
          <cell r="B23">
            <v>367</v>
          </cell>
        </row>
        <row r="24">
          <cell r="B24">
            <v>612</v>
          </cell>
        </row>
        <row r="25">
          <cell r="B25">
            <v>367</v>
          </cell>
        </row>
        <row r="26">
          <cell r="B26">
            <v>1224</v>
          </cell>
        </row>
        <row r="27">
          <cell r="B27">
            <v>740</v>
          </cell>
        </row>
        <row r="28">
          <cell r="B28">
            <v>1224</v>
          </cell>
        </row>
        <row r="29">
          <cell r="B29">
            <v>740</v>
          </cell>
        </row>
        <row r="30">
          <cell r="B30">
            <v>1224</v>
          </cell>
        </row>
        <row r="31">
          <cell r="B31">
            <v>740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pageSetUpPr fitToPage="1"/>
  </sheetPr>
  <dimension ref="A1:AF107"/>
  <sheetViews>
    <sheetView zoomScaleNormal="100" workbookViewId="0">
      <pane xSplit="8" ySplit="5" topLeftCell="AB12" activePane="bottomRight" state="frozen"/>
      <selection pane="topRight" activeCell="G1" sqref="G1"/>
      <selection pane="bottomLeft" activeCell="A6" sqref="A6"/>
      <selection pane="bottomRight" activeCell="H1" sqref="H1"/>
    </sheetView>
  </sheetViews>
  <sheetFormatPr defaultRowHeight="13.8" x14ac:dyDescent="0.3"/>
  <cols>
    <col min="1" max="1" width="20.88671875" style="4" customWidth="1"/>
    <col min="2" max="2" width="12.77734375" style="4" customWidth="1"/>
    <col min="3" max="3" width="20.77734375" style="4" customWidth="1"/>
    <col min="4" max="4" width="12.77734375" style="4" customWidth="1"/>
    <col min="5" max="6" width="6.77734375" style="4" customWidth="1"/>
    <col min="7" max="8" width="12.77734375" style="4" customWidth="1"/>
    <col min="9" max="9" width="2.77734375" style="4" hidden="1" customWidth="1"/>
    <col min="10" max="21" width="10.77734375" style="4" hidden="1" customWidth="1"/>
    <col min="22" max="22" width="30.44140625" style="263" hidden="1" customWidth="1"/>
    <col min="23" max="23" width="8.88671875" style="4" hidden="1" customWidth="1"/>
    <col min="24" max="24" width="17.21875" style="4" hidden="1" customWidth="1"/>
    <col min="25" max="25" width="14.88671875" style="4" hidden="1" customWidth="1"/>
    <col min="26" max="26" width="10" style="4" hidden="1" customWidth="1"/>
    <col min="27" max="27" width="10.33203125" style="4" hidden="1" customWidth="1"/>
    <col min="28" max="16384" width="8.88671875" style="4"/>
  </cols>
  <sheetData>
    <row r="1" spans="1:29" ht="21" x14ac:dyDescent="0.4">
      <c r="A1" s="36" t="s">
        <v>80</v>
      </c>
      <c r="B1" s="38"/>
      <c r="C1" s="38"/>
      <c r="D1" s="38"/>
      <c r="E1" s="38"/>
      <c r="F1" s="38"/>
      <c r="G1" s="38"/>
      <c r="H1" s="258">
        <v>1</v>
      </c>
      <c r="I1" s="344"/>
      <c r="M1" s="293"/>
      <c r="O1" s="294"/>
      <c r="P1" s="294"/>
      <c r="Q1" s="294"/>
      <c r="V1" s="261"/>
    </row>
    <row r="2" spans="1:29" s="5" customFormat="1" ht="21" x14ac:dyDescent="0.4">
      <c r="A2" s="59" t="s">
        <v>92</v>
      </c>
      <c r="B2" s="37"/>
      <c r="C2" s="37"/>
      <c r="D2" s="37"/>
      <c r="E2" s="37"/>
      <c r="F2" s="37"/>
      <c r="G2" s="37"/>
      <c r="H2" s="37"/>
      <c r="T2" s="312" t="s">
        <v>287</v>
      </c>
      <c r="U2" s="294">
        <v>37474</v>
      </c>
      <c r="V2" s="262"/>
    </row>
    <row r="3" spans="1:29" ht="16.2" thickBot="1" x14ac:dyDescent="0.35">
      <c r="A3" s="38"/>
      <c r="B3" s="38"/>
      <c r="C3" s="38"/>
      <c r="E3" s="38"/>
      <c r="F3" s="38"/>
      <c r="G3" s="38"/>
      <c r="H3" s="38"/>
      <c r="T3" s="312" t="s">
        <v>285</v>
      </c>
      <c r="U3" s="364">
        <v>5.5E-2</v>
      </c>
    </row>
    <row r="4" spans="1:29" ht="19.95" customHeight="1" thickBot="1" x14ac:dyDescent="0.4">
      <c r="A4" s="425" t="s">
        <v>260</v>
      </c>
      <c r="B4" s="426"/>
      <c r="C4" s="426"/>
      <c r="D4" s="426"/>
      <c r="E4" s="426"/>
      <c r="F4" s="426"/>
      <c r="G4" s="426"/>
      <c r="H4" s="427"/>
      <c r="I4" s="345"/>
      <c r="J4" s="405" t="s">
        <v>261</v>
      </c>
      <c r="K4" s="406"/>
      <c r="L4" s="405" t="s">
        <v>264</v>
      </c>
      <c r="M4" s="406"/>
      <c r="N4" s="405" t="s">
        <v>265</v>
      </c>
      <c r="O4" s="406"/>
      <c r="P4" s="6"/>
      <c r="T4" s="312" t="s">
        <v>288</v>
      </c>
      <c r="U4" s="295">
        <f>+U2*(1+U3)</f>
        <v>39535.07</v>
      </c>
      <c r="X4" s="397" t="s">
        <v>289</v>
      </c>
      <c r="Y4" s="397"/>
      <c r="Z4" s="397"/>
      <c r="AA4" s="397"/>
    </row>
    <row r="5" spans="1:29" s="8" customFormat="1" ht="64.95" customHeight="1" thickBot="1" x14ac:dyDescent="0.35">
      <c r="A5" s="85" t="s">
        <v>50</v>
      </c>
      <c r="B5" s="83" t="s">
        <v>241</v>
      </c>
      <c r="C5" s="83" t="s">
        <v>252</v>
      </c>
      <c r="D5" s="86" t="s">
        <v>51</v>
      </c>
      <c r="E5" s="82" t="s">
        <v>46</v>
      </c>
      <c r="F5" s="83" t="s">
        <v>119</v>
      </c>
      <c r="G5" s="83" t="s">
        <v>253</v>
      </c>
      <c r="H5" s="285" t="s">
        <v>254</v>
      </c>
      <c r="I5" s="87"/>
      <c r="J5" s="299" t="s">
        <v>262</v>
      </c>
      <c r="K5" s="300" t="s">
        <v>263</v>
      </c>
      <c r="L5" s="299" t="s">
        <v>262</v>
      </c>
      <c r="M5" s="300" t="s">
        <v>263</v>
      </c>
      <c r="N5" s="299" t="s">
        <v>262</v>
      </c>
      <c r="O5" s="300" t="s">
        <v>263</v>
      </c>
      <c r="P5" s="301" t="s">
        <v>120</v>
      </c>
      <c r="Q5" s="301" t="s">
        <v>82</v>
      </c>
      <c r="R5" s="301" t="s">
        <v>81</v>
      </c>
      <c r="S5" s="301" t="s">
        <v>290</v>
      </c>
      <c r="T5" s="301" t="s">
        <v>232</v>
      </c>
      <c r="U5" s="301" t="s">
        <v>291</v>
      </c>
      <c r="V5" s="321" t="s">
        <v>119</v>
      </c>
      <c r="X5" s="293" t="s">
        <v>50</v>
      </c>
      <c r="Y5" s="293" t="s">
        <v>0</v>
      </c>
      <c r="Z5" s="293" t="s">
        <v>281</v>
      </c>
      <c r="AA5" s="293" t="s">
        <v>282</v>
      </c>
    </row>
    <row r="6" spans="1:29" ht="19.95" customHeight="1" x14ac:dyDescent="0.3">
      <c r="A6" s="419" t="s">
        <v>55</v>
      </c>
      <c r="B6" s="421">
        <f>+S6</f>
        <v>0</v>
      </c>
      <c r="C6" s="40" t="s">
        <v>52</v>
      </c>
      <c r="D6" s="313">
        <f t="shared" ref="D6:D39" si="0">+P6</f>
        <v>0</v>
      </c>
      <c r="E6" s="314" t="s">
        <v>2</v>
      </c>
      <c r="F6" s="286" t="s">
        <v>187</v>
      </c>
      <c r="G6" s="415" t="s">
        <v>255</v>
      </c>
      <c r="H6" s="417" t="s">
        <v>256</v>
      </c>
      <c r="I6" s="348"/>
      <c r="J6" s="297">
        <f>IF(E6="A",'HS - Lane and Step Schedule'!B$7,IF(E6="B",'HS - Lane and Step Schedule'!D$7,IF(E6="C",'HS - Lane and Step Schedule'!F$7,IF(E6="D",'HS - Lane and Step Schedule'!H$7,IF(E6="E",'HS - Lane and Step Schedule'!J$7,IF(E6="F",'HS - Lane and Step Schedule'!L$7,IF(E6="G",'HS - Lane and Step Schedule'!N$7,IF(E6="H",'HS - Lane and Step Schedule'!P$7,IF(E6="I",'HS - Lane and Step Schedule'!R$7,IF(E6="J",'HS - Lane and Step Schedule'!T$7))))))))))</f>
        <v>0.1361</v>
      </c>
      <c r="K6" s="307">
        <f t="shared" ref="K6:K39" si="1">+$U$4*J6</f>
        <v>5380.723027</v>
      </c>
      <c r="L6" s="297">
        <f>IF(E6="A",'HS - Lane and Step Schedule'!B$16,IF(E6="B",'HS - Lane and Step Schedule'!D$16,IF(E6="C",'HS - Lane and Step Schedule'!F$16,IF(E6="D",'HS - Lane and Step Schedule'!H$16,IF(E6="E",'HS - Lane and Step Schedule'!J$16,IF(E6="F",'HS - Lane and Step Schedule'!L$16,IF(E6="G",'HS - Lane and Step Schedule'!N$16,IF(E6="H",'HS - Lane and Step Schedule'!P$16,IF(E6="I",'HS - Lane and Step Schedule'!R$16,IF(E6="J",'HS - Lane and Step Schedule'!T$16))))))))))</f>
        <v>0.15755276250000003</v>
      </c>
      <c r="M6" s="307">
        <f t="shared" ref="M6:M39" si="2">+$U$4*L6</f>
        <v>6228.8594941308756</v>
      </c>
      <c r="N6" s="297">
        <f>IF(E6="A",'HS - Lane and Step Schedule'!B$25,IF(E6="B",'HS - Lane and Step Schedule'!D$25,IF(E6="C",'HS - Lane and Step Schedule'!F$25,IF(E6="D",'HS - Lane and Step Schedule'!H$25,IF(E6="E",'HS - Lane and Step Schedule'!J$25,IF(E6="F",'HS - Lane and Step Schedule'!L$25,IF(E6="G",'HS - Lane and Step Schedule'!N$25,IF(E6="H",'HS - Lane and Step Schedule'!P$25,IF(E6="I",'HS - Lane and Step Schedule'!R$25,IF(E6="J",'HS - Lane and Step Schedule'!T$25))))))))))</f>
        <v>0.1623267687565125</v>
      </c>
      <c r="O6" s="307">
        <f t="shared" ref="O6:O39" si="3">+$U$4*N6</f>
        <v>6417.6001656625349</v>
      </c>
      <c r="P6" s="319">
        <v>0</v>
      </c>
      <c r="Q6" s="296">
        <v>0</v>
      </c>
      <c r="R6" s="298">
        <f t="shared" ref="R6:R39" si="4">ROUND($U$4*Q6*L6,0)</f>
        <v>0</v>
      </c>
      <c r="S6" s="298">
        <f>+R6+R7</f>
        <v>0</v>
      </c>
      <c r="T6" s="298">
        <f>+S6*0.3134</f>
        <v>0</v>
      </c>
      <c r="U6" s="298">
        <f>+S6+T6</f>
        <v>0</v>
      </c>
      <c r="V6" s="302"/>
      <c r="X6" s="252" t="str">
        <f>+A6</f>
        <v>Athletics Oversight</v>
      </c>
      <c r="Y6" s="252" t="str">
        <f>+C6</f>
        <v>Head Director</v>
      </c>
      <c r="Z6" s="323">
        <f>+K6</f>
        <v>5380.723027</v>
      </c>
      <c r="AA6" s="323">
        <f>+O6</f>
        <v>6417.6001656625349</v>
      </c>
    </row>
    <row r="7" spans="1:29" ht="19.95" customHeight="1" thickBot="1" x14ac:dyDescent="0.35">
      <c r="A7" s="420"/>
      <c r="B7" s="422"/>
      <c r="C7" s="39" t="s">
        <v>53</v>
      </c>
      <c r="D7" s="304">
        <f t="shared" si="0"/>
        <v>0</v>
      </c>
      <c r="E7" s="315" t="s">
        <v>77</v>
      </c>
      <c r="F7" s="287"/>
      <c r="G7" s="416"/>
      <c r="H7" s="418"/>
      <c r="I7" s="348"/>
      <c r="J7" s="303">
        <f>IF(E7="A",'HS - Lane and Step Schedule'!B$7,IF(E7="B",'HS - Lane and Step Schedule'!D$7,IF(E7="C",'HS - Lane and Step Schedule'!F$7,IF(E7="D",'HS - Lane and Step Schedule'!H$7,IF(E7="E",'HS - Lane and Step Schedule'!J$7,IF(E7="F",'HS - Lane and Step Schedule'!L$7,IF(E7="G",'HS - Lane and Step Schedule'!N$7,IF(E7="H",'HS - Lane and Step Schedule'!P$7,IF(E7="I",'HS - Lane and Step Schedule'!R$7,IF(E7="J",'HS - Lane and Step Schedule'!T$7))))))))))</f>
        <v>7.7576999999999993E-2</v>
      </c>
      <c r="K7" s="308">
        <f t="shared" si="1"/>
        <v>3067.0121253899997</v>
      </c>
      <c r="L7" s="303">
        <f>IF(E7="A",'HS - Lane and Step Schedule'!B$16,IF(E7="B",'HS - Lane and Step Schedule'!D$16,IF(E7="C",'HS - Lane and Step Schedule'!F$16,IF(E7="D",'HS - Lane and Step Schedule'!H$16,IF(E7="E",'HS - Lane and Step Schedule'!J$16,IF(E7="F",'HS - Lane and Step Schedule'!L$16,IF(E7="G",'HS - Lane and Step Schedule'!N$16,IF(E7="H",'HS - Lane and Step Schedule'!P$16,IF(E7="I",'HS - Lane and Step Schedule'!R$16,IF(E7="J",'HS - Lane and Step Schedule'!T$16))))))))))</f>
        <v>8.9805074625000009E-2</v>
      </c>
      <c r="M7" s="308">
        <f t="shared" si="2"/>
        <v>3550.449911654599</v>
      </c>
      <c r="N7" s="303">
        <f>IF(E7="A",'HS - Lane and Step Schedule'!B$25,IF(E7="B",'HS - Lane and Step Schedule'!D$25,IF(E7="C",'HS - Lane and Step Schedule'!F$25,IF(E7="D",'HS - Lane and Step Schedule'!H$25,IF(E7="E",'HS - Lane and Step Schedule'!J$25,IF(E7="F",'HS - Lane and Step Schedule'!L$25,IF(E7="G",'HS - Lane and Step Schedule'!N$25,IF(E7="H",'HS - Lane and Step Schedule'!P$25,IF(E7="I",'HS - Lane and Step Schedule'!R$25,IF(E7="J",'HS - Lane and Step Schedule'!T$25))))))))))</f>
        <v>9.252625819121213E-2</v>
      </c>
      <c r="O7" s="308">
        <f t="shared" si="3"/>
        <v>3658.032094427645</v>
      </c>
      <c r="P7" s="320">
        <v>0</v>
      </c>
      <c r="Q7" s="305">
        <v>0</v>
      </c>
      <c r="R7" s="309">
        <f t="shared" si="4"/>
        <v>0</v>
      </c>
      <c r="S7" s="309"/>
      <c r="T7" s="310"/>
      <c r="U7" s="310"/>
      <c r="V7" s="306"/>
      <c r="X7" s="252" t="str">
        <f>+A6</f>
        <v>Athletics Oversight</v>
      </c>
      <c r="Y7" s="252" t="str">
        <f>+C7</f>
        <v>Assistant Director</v>
      </c>
      <c r="Z7" s="323">
        <f>+K7</f>
        <v>3067.0121253899997</v>
      </c>
      <c r="AA7" s="323">
        <f>+O7</f>
        <v>3658.032094427645</v>
      </c>
    </row>
    <row r="8" spans="1:29" ht="19.95" customHeight="1" x14ac:dyDescent="0.3">
      <c r="A8" s="407" t="s">
        <v>54</v>
      </c>
      <c r="B8" s="409">
        <f>+S8</f>
        <v>0</v>
      </c>
      <c r="C8" s="365" t="s">
        <v>52</v>
      </c>
      <c r="D8" s="313">
        <f t="shared" si="0"/>
        <v>1</v>
      </c>
      <c r="E8" s="316" t="s">
        <v>2</v>
      </c>
      <c r="F8" s="366"/>
      <c r="G8" s="401" t="s">
        <v>255</v>
      </c>
      <c r="H8" s="403" t="s">
        <v>256</v>
      </c>
      <c r="I8" s="348"/>
      <c r="J8" s="297">
        <f>IF(E8="A",'HS - Lane and Step Schedule'!B$7,IF(E8="B",'HS - Lane and Step Schedule'!D$7,IF(E8="C",'HS - Lane and Step Schedule'!F$7,IF(E8="D",'HS - Lane and Step Schedule'!H$7,IF(E8="E",'HS - Lane and Step Schedule'!J$7,IF(E8="F",'HS - Lane and Step Schedule'!L$7,IF(E8="G",'HS - Lane and Step Schedule'!N$7,IF(E8="H",'HS - Lane and Step Schedule'!P$7,IF(E8="I",'HS - Lane and Step Schedule'!R$7,IF(E8="J",'HS - Lane and Step Schedule'!T$7))))))))))</f>
        <v>0.1361</v>
      </c>
      <c r="K8" s="307">
        <f t="shared" si="1"/>
        <v>5380.723027</v>
      </c>
      <c r="L8" s="297">
        <f>IF(E8="A",'HS - Lane and Step Schedule'!B$16,IF(E8="B",'HS - Lane and Step Schedule'!D$16,IF(E8="C",'HS - Lane and Step Schedule'!F$16,IF(E8="D",'HS - Lane and Step Schedule'!H$16,IF(E8="E",'HS - Lane and Step Schedule'!J$16,IF(E8="F",'HS - Lane and Step Schedule'!L$16,IF(E8="G",'HS - Lane and Step Schedule'!N$16,IF(E8="H",'HS - Lane and Step Schedule'!P$16,IF(E8="I",'HS - Lane and Step Schedule'!R$16,IF(E8="J",'HS - Lane and Step Schedule'!T$16))))))))))</f>
        <v>0.15755276250000003</v>
      </c>
      <c r="M8" s="307">
        <f t="shared" si="2"/>
        <v>6228.8594941308756</v>
      </c>
      <c r="N8" s="297">
        <f>IF(E8="A",'HS - Lane and Step Schedule'!B$25,IF(E8="B",'HS - Lane and Step Schedule'!D$25,IF(E8="C",'HS - Lane and Step Schedule'!F$25,IF(E8="D",'HS - Lane and Step Schedule'!H$25,IF(E8="E",'HS - Lane and Step Schedule'!J$25,IF(E8="F",'HS - Lane and Step Schedule'!L$25,IF(E8="G",'HS - Lane and Step Schedule'!N$25,IF(E8="H",'HS - Lane and Step Schedule'!P$25,IF(E8="I",'HS - Lane and Step Schedule'!R$25,IF(E8="J",'HS - Lane and Step Schedule'!T$25))))))))))</f>
        <v>0.1623267687565125</v>
      </c>
      <c r="O8" s="307">
        <f t="shared" si="3"/>
        <v>6417.6001656625349</v>
      </c>
      <c r="P8" s="319">
        <v>1</v>
      </c>
      <c r="Q8" s="296">
        <v>0</v>
      </c>
      <c r="R8" s="298">
        <f t="shared" si="4"/>
        <v>0</v>
      </c>
      <c r="S8" s="298">
        <f>+R8+R9</f>
        <v>0</v>
      </c>
      <c r="T8" s="298">
        <f>+S8*0.3134</f>
        <v>0</v>
      </c>
      <c r="U8" s="298">
        <f>+S8+T8</f>
        <v>0</v>
      </c>
      <c r="V8" s="302"/>
      <c r="X8" s="252" t="str">
        <f t="shared" ref="X8" si="5">+A8</f>
        <v>Activities Oversight</v>
      </c>
      <c r="Y8" s="252" t="str">
        <f t="shared" ref="Y8:Y73" si="6">+C8</f>
        <v>Head Director</v>
      </c>
      <c r="Z8" s="323">
        <f t="shared" ref="Z8:Z73" si="7">+K8</f>
        <v>5380.723027</v>
      </c>
      <c r="AA8" s="323">
        <f t="shared" ref="AA8:AA73" si="8">+O8</f>
        <v>6417.6001656625349</v>
      </c>
    </row>
    <row r="9" spans="1:29" ht="19.95" customHeight="1" thickBot="1" x14ac:dyDescent="0.35">
      <c r="A9" s="408"/>
      <c r="B9" s="413"/>
      <c r="C9" s="367" t="s">
        <v>53</v>
      </c>
      <c r="D9" s="304">
        <f t="shared" si="0"/>
        <v>1</v>
      </c>
      <c r="E9" s="317" t="s">
        <v>77</v>
      </c>
      <c r="F9" s="368"/>
      <c r="G9" s="402"/>
      <c r="H9" s="404"/>
      <c r="I9" s="348"/>
      <c r="J9" s="303">
        <f>IF(E9="A",'HS - Lane and Step Schedule'!B$7,IF(E9="B",'HS - Lane and Step Schedule'!D$7,IF(E9="C",'HS - Lane and Step Schedule'!F$7,IF(E9="D",'HS - Lane and Step Schedule'!H$7,IF(E9="E",'HS - Lane and Step Schedule'!J$7,IF(E9="F",'HS - Lane and Step Schedule'!L$7,IF(E9="G",'HS - Lane and Step Schedule'!N$7,IF(E9="H",'HS - Lane and Step Schedule'!P$7,IF(E9="I",'HS - Lane and Step Schedule'!R$7,IF(E9="J",'HS - Lane and Step Schedule'!T$7))))))))))</f>
        <v>7.7576999999999993E-2</v>
      </c>
      <c r="K9" s="308">
        <f t="shared" si="1"/>
        <v>3067.0121253899997</v>
      </c>
      <c r="L9" s="303">
        <f>IF(E9="A",'HS - Lane and Step Schedule'!B$16,IF(E9="B",'HS - Lane and Step Schedule'!D$16,IF(E9="C",'HS - Lane and Step Schedule'!F$16,IF(E9="D",'HS - Lane and Step Schedule'!H$16,IF(E9="E",'HS - Lane and Step Schedule'!J$16,IF(E9="F",'HS - Lane and Step Schedule'!L$16,IF(E9="G",'HS - Lane and Step Schedule'!N$16,IF(E9="H",'HS - Lane and Step Schedule'!P$16,IF(E9="I",'HS - Lane and Step Schedule'!R$16,IF(E9="J",'HS - Lane and Step Schedule'!T$16))))))))))</f>
        <v>8.9805074625000009E-2</v>
      </c>
      <c r="M9" s="308">
        <f t="shared" si="2"/>
        <v>3550.449911654599</v>
      </c>
      <c r="N9" s="303">
        <f>IF(E9="A",'HS - Lane and Step Schedule'!B$25,IF(E9="B",'HS - Lane and Step Schedule'!D$25,IF(E9="C",'HS - Lane and Step Schedule'!F$25,IF(E9="D",'HS - Lane and Step Schedule'!H$25,IF(E9="E",'HS - Lane and Step Schedule'!J$25,IF(E9="F",'HS - Lane and Step Schedule'!L$25,IF(E9="G",'HS - Lane and Step Schedule'!N$25,IF(E9="H",'HS - Lane and Step Schedule'!P$25,IF(E9="I",'HS - Lane and Step Schedule'!R$25,IF(E9="J",'HS - Lane and Step Schedule'!T$25))))))))))</f>
        <v>9.252625819121213E-2</v>
      </c>
      <c r="O9" s="308">
        <f t="shared" si="3"/>
        <v>3658.032094427645</v>
      </c>
      <c r="P9" s="320">
        <v>1</v>
      </c>
      <c r="Q9" s="305">
        <v>0</v>
      </c>
      <c r="R9" s="309">
        <f t="shared" si="4"/>
        <v>0</v>
      </c>
      <c r="S9" s="309"/>
      <c r="T9" s="310"/>
      <c r="U9" s="310"/>
      <c r="V9" s="306"/>
      <c r="X9" s="252" t="str">
        <f t="shared" ref="X9" si="9">+A8</f>
        <v>Activities Oversight</v>
      </c>
      <c r="Y9" s="252" t="str">
        <f t="shared" si="6"/>
        <v>Assistant Director</v>
      </c>
      <c r="Z9" s="323">
        <f t="shared" si="7"/>
        <v>3067.0121253899997</v>
      </c>
      <c r="AA9" s="323">
        <f t="shared" si="8"/>
        <v>3658.032094427645</v>
      </c>
    </row>
    <row r="10" spans="1:29" ht="19.95" customHeight="1" x14ac:dyDescent="0.3">
      <c r="A10" s="407" t="s">
        <v>283</v>
      </c>
      <c r="B10" s="409">
        <f>+S10</f>
        <v>0</v>
      </c>
      <c r="C10" s="365" t="s">
        <v>58</v>
      </c>
      <c r="D10" s="313">
        <f t="shared" ref="D10:D11" si="10">+P10</f>
        <v>1</v>
      </c>
      <c r="E10" s="316" t="s">
        <v>10</v>
      </c>
      <c r="F10" s="366"/>
      <c r="G10" s="401" t="s">
        <v>255</v>
      </c>
      <c r="H10" s="403" t="s">
        <v>256</v>
      </c>
      <c r="I10" s="348"/>
      <c r="J10" s="297">
        <f>IF(E10="A",'HS - Lane and Step Schedule'!B$7,IF(E10="B",'HS - Lane and Step Schedule'!D$7,IF(E10="C",'HS - Lane and Step Schedule'!F$7,IF(E10="D",'HS - Lane and Step Schedule'!H$7,IF(E10="E",'HS - Lane and Step Schedule'!J$7,IF(E10="F",'HS - Lane and Step Schedule'!L$7,IF(E10="G",'HS - Lane and Step Schedule'!N$7,IF(E10="H",'HS - Lane and Step Schedule'!P$7,IF(E10="I",'HS - Lane and Step Schedule'!R$7,IF(E10="J",'HS - Lane and Step Schedule'!T$7))))))))))</f>
        <v>5.4440000000000002E-2</v>
      </c>
      <c r="K10" s="307">
        <f t="shared" ref="K10:K11" si="11">+$U$4*J10</f>
        <v>2152.2892108000001</v>
      </c>
      <c r="L10" s="297">
        <f>IF(E10="A",'HS - Lane and Step Schedule'!B$16,IF(E10="B",'HS - Lane and Step Schedule'!D$16,IF(E10="C",'HS - Lane and Step Schedule'!F$16,IF(E10="D",'HS - Lane and Step Schedule'!H$16,IF(E10="E",'HS - Lane and Step Schedule'!J$16,IF(E10="F",'HS - Lane and Step Schedule'!L$16,IF(E10="G",'HS - Lane and Step Schedule'!N$16,IF(E10="H",'HS - Lane and Step Schedule'!P$16,IF(E10="I",'HS - Lane and Step Schedule'!R$16,IF(E10="J",'HS - Lane and Step Schedule'!T$16))))))))))</f>
        <v>6.3021105000000008E-2</v>
      </c>
      <c r="M10" s="307">
        <f t="shared" ref="M10:M11" si="12">+$U$4*L10</f>
        <v>2491.5437976523503</v>
      </c>
      <c r="N10" s="297">
        <f>IF(E10="A",'HS - Lane and Step Schedule'!B$25,IF(E10="B",'HS - Lane and Step Schedule'!D$25,IF(E10="C",'HS - Lane and Step Schedule'!F$25,IF(E10="D",'HS - Lane and Step Schedule'!H$25,IF(E10="E",'HS - Lane and Step Schedule'!J$25,IF(E10="F",'HS - Lane and Step Schedule'!L$25,IF(E10="G",'HS - Lane and Step Schedule'!N$25,IF(E10="H",'HS - Lane and Step Schedule'!P$25,IF(E10="I",'HS - Lane and Step Schedule'!R$25,IF(E10="J",'HS - Lane and Step Schedule'!T$25))))))))))</f>
        <v>6.4930707502605017E-2</v>
      </c>
      <c r="O10" s="307">
        <f t="shared" ref="O10:O11" si="13">+$U$4*N10</f>
        <v>2567.0400662650145</v>
      </c>
      <c r="P10" s="319">
        <v>1</v>
      </c>
      <c r="Q10" s="296">
        <v>0</v>
      </c>
      <c r="R10" s="298">
        <f t="shared" ref="R10:R11" si="14">ROUND($U$4*Q10*L10,0)</f>
        <v>0</v>
      </c>
      <c r="S10" s="298">
        <f>+R10+R11</f>
        <v>0</v>
      </c>
      <c r="T10" s="298">
        <f>+S10*0.3134</f>
        <v>0</v>
      </c>
      <c r="U10" s="298">
        <f>+S10+T10</f>
        <v>0</v>
      </c>
      <c r="V10" s="302"/>
      <c r="W10" s="2"/>
      <c r="X10" s="252" t="str">
        <f t="shared" ref="X10" si="15">+A10</f>
        <v>Ballroom Dance</v>
      </c>
      <c r="Y10" s="252" t="str">
        <f t="shared" ref="Y10:Y11" si="16">+C10</f>
        <v>Head Advisor</v>
      </c>
      <c r="Z10" s="323">
        <f t="shared" ref="Z10:Z11" si="17">+K10</f>
        <v>2152.2892108000001</v>
      </c>
      <c r="AA10" s="323">
        <f t="shared" ref="AA10:AA11" si="18">+O10</f>
        <v>2567.0400662650145</v>
      </c>
      <c r="AB10" s="2"/>
      <c r="AC10" s="2"/>
    </row>
    <row r="11" spans="1:29" ht="19.95" customHeight="1" thickBot="1" x14ac:dyDescent="0.35">
      <c r="A11" s="408"/>
      <c r="B11" s="413"/>
      <c r="C11" s="367" t="s">
        <v>59</v>
      </c>
      <c r="D11" s="304">
        <f t="shared" si="10"/>
        <v>2</v>
      </c>
      <c r="E11" s="317" t="s">
        <v>78</v>
      </c>
      <c r="F11" s="368"/>
      <c r="G11" s="402"/>
      <c r="H11" s="404"/>
      <c r="I11" s="348"/>
      <c r="J11" s="303">
        <f>IF(E11="A",'HS - Lane and Step Schedule'!B$7,IF(E11="B",'HS - Lane and Step Schedule'!D$7,IF(E11="C",'HS - Lane and Step Schedule'!F$7,IF(E11="D",'HS - Lane and Step Schedule'!H$7,IF(E11="E",'HS - Lane and Step Schedule'!J$7,IF(E11="F",'HS - Lane and Step Schedule'!L$7,IF(E11="G",'HS - Lane and Step Schedule'!N$7,IF(E11="H",'HS - Lane and Step Schedule'!P$7,IF(E11="I",'HS - Lane and Step Schedule'!R$7,IF(E11="J",'HS - Lane and Step Schedule'!T$7))))))))))</f>
        <v>2.5859E-2</v>
      </c>
      <c r="K11" s="308">
        <f t="shared" si="11"/>
        <v>1022.3373751299999</v>
      </c>
      <c r="L11" s="303">
        <f>IF(E11="A",'HS - Lane and Step Schedule'!B$16,IF(E11="B",'HS - Lane and Step Schedule'!D$16,IF(E11="C",'HS - Lane and Step Schedule'!F$16,IF(E11="D",'HS - Lane and Step Schedule'!H$16,IF(E11="E",'HS - Lane and Step Schedule'!J$16,IF(E11="F",'HS - Lane and Step Schedule'!L$16,IF(E11="G",'HS - Lane and Step Schedule'!N$16,IF(E11="H",'HS - Lane and Step Schedule'!P$16,IF(E11="I",'HS - Lane and Step Schedule'!R$16,IF(E11="J",'HS - Lane and Step Schedule'!T$16))))))))))</f>
        <v>2.9935024875000004E-2</v>
      </c>
      <c r="M11" s="308">
        <f t="shared" si="12"/>
        <v>1183.4833038848665</v>
      </c>
      <c r="N11" s="303">
        <f>IF(E11="A",'HS - Lane and Step Schedule'!B$25,IF(E11="B",'HS - Lane and Step Schedule'!D$25,IF(E11="C",'HS - Lane and Step Schedule'!F$25,IF(E11="D",'HS - Lane and Step Schedule'!H$25,IF(E11="E",'HS - Lane and Step Schedule'!J$25,IF(E11="F",'HS - Lane and Step Schedule'!L$25,IF(E11="G",'HS - Lane and Step Schedule'!N$25,IF(E11="H",'HS - Lane and Step Schedule'!P$25,IF(E11="I",'HS - Lane and Step Schedule'!R$25,IF(E11="J",'HS - Lane and Step Schedule'!T$25))))))))))</f>
        <v>3.0842086063737378E-2</v>
      </c>
      <c r="O11" s="308">
        <f t="shared" si="13"/>
        <v>1219.3440314758816</v>
      </c>
      <c r="P11" s="320">
        <v>2</v>
      </c>
      <c r="Q11" s="305">
        <v>0</v>
      </c>
      <c r="R11" s="309">
        <f t="shared" si="14"/>
        <v>0</v>
      </c>
      <c r="S11" s="309"/>
      <c r="T11" s="310"/>
      <c r="U11" s="310"/>
      <c r="V11" s="306"/>
      <c r="W11" s="2"/>
      <c r="X11" s="252" t="str">
        <f t="shared" ref="X11" si="19">+A10</f>
        <v>Ballroom Dance</v>
      </c>
      <c r="Y11" s="252" t="str">
        <f t="shared" si="16"/>
        <v>Assistant Advisor</v>
      </c>
      <c r="Z11" s="323">
        <f t="shared" si="17"/>
        <v>1022.3373751299999</v>
      </c>
      <c r="AA11" s="323">
        <f t="shared" si="18"/>
        <v>1219.3440314758816</v>
      </c>
      <c r="AB11" s="2"/>
      <c r="AC11" s="2"/>
    </row>
    <row r="12" spans="1:29" ht="19.95" customHeight="1" x14ac:dyDescent="0.3">
      <c r="A12" s="407" t="s">
        <v>25</v>
      </c>
      <c r="B12" s="409">
        <f>+S12</f>
        <v>8097</v>
      </c>
      <c r="C12" s="365" t="s">
        <v>58</v>
      </c>
      <c r="D12" s="313">
        <f t="shared" si="0"/>
        <v>1</v>
      </c>
      <c r="E12" s="316" t="s">
        <v>4</v>
      </c>
      <c r="F12" s="369" t="s">
        <v>217</v>
      </c>
      <c r="G12" s="401" t="s">
        <v>255</v>
      </c>
      <c r="H12" s="403" t="s">
        <v>256</v>
      </c>
      <c r="I12" s="348"/>
      <c r="J12" s="297">
        <f>IF(E12="A",'HS - Lane and Step Schedule'!B$7,IF(E12="B",'HS - Lane and Step Schedule'!D$7,IF(E12="C",'HS - Lane and Step Schedule'!F$7,IF(E12="D",'HS - Lane and Step Schedule'!H$7,IF(E12="E",'HS - Lane and Step Schedule'!J$7,IF(E12="F",'HS - Lane and Step Schedule'!L$7,IF(E12="G",'HS - Lane and Step Schedule'!N$7,IF(E12="H",'HS - Lane and Step Schedule'!P$7,IF(E12="I",'HS - Lane and Step Schedule'!R$7,IF(E12="J",'HS - Lane and Step Schedule'!T$7))))))))))</f>
        <v>0.11024100000000001</v>
      </c>
      <c r="K12" s="307">
        <f t="shared" si="1"/>
        <v>4358.3856518700004</v>
      </c>
      <c r="L12" s="297">
        <f>IF(E12="A",'HS - Lane and Step Schedule'!B$16,IF(E12="B",'HS - Lane and Step Schedule'!D$16,IF(E12="C",'HS - Lane and Step Schedule'!F$16,IF(E12="D",'HS - Lane and Step Schedule'!H$16,IF(E12="E",'HS - Lane and Step Schedule'!J$16,IF(E12="F",'HS - Lane and Step Schedule'!L$16,IF(E12="G",'HS - Lane and Step Schedule'!N$16,IF(E12="H",'HS - Lane and Step Schedule'!P$16,IF(E12="I",'HS - Lane and Step Schedule'!R$16,IF(E12="J",'HS - Lane and Step Schedule'!T$16))))))))))</f>
        <v>0.12761773762500003</v>
      </c>
      <c r="M12" s="307">
        <f t="shared" si="2"/>
        <v>5045.3761902460101</v>
      </c>
      <c r="N12" s="297">
        <f>IF(E12="A",'HS - Lane and Step Schedule'!B$25,IF(E12="B",'HS - Lane and Step Schedule'!D$25,IF(E12="C",'HS - Lane and Step Schedule'!F$25,IF(E12="D",'HS - Lane and Step Schedule'!H$25,IF(E12="E",'HS - Lane and Step Schedule'!J$25,IF(E12="F",'HS - Lane and Step Schedule'!L$25,IF(E12="G",'HS - Lane and Step Schedule'!N$25,IF(E12="H",'HS - Lane and Step Schedule'!P$25,IF(E12="I",'HS - Lane and Step Schedule'!R$25,IF(E12="J",'HS - Lane and Step Schedule'!T$25))))))))))</f>
        <v>0.13148468269277513</v>
      </c>
      <c r="O12" s="307">
        <f t="shared" si="3"/>
        <v>5198.2561341866531</v>
      </c>
      <c r="P12" s="319">
        <v>1</v>
      </c>
      <c r="Q12" s="296">
        <v>1</v>
      </c>
      <c r="R12" s="298">
        <f t="shared" si="4"/>
        <v>5045</v>
      </c>
      <c r="S12" s="298">
        <f>+R12+R13</f>
        <v>8097</v>
      </c>
      <c r="T12" s="298">
        <f>+S12*0.3134</f>
        <v>2537.5998</v>
      </c>
      <c r="U12" s="298">
        <f>+S12+T12</f>
        <v>10634.5998</v>
      </c>
      <c r="V12" s="302"/>
      <c r="X12" s="252" t="str">
        <f t="shared" ref="X12" si="20">+A12</f>
        <v>Band</v>
      </c>
      <c r="Y12" s="252" t="str">
        <f t="shared" si="6"/>
        <v>Head Advisor</v>
      </c>
      <c r="Z12" s="323">
        <f t="shared" si="7"/>
        <v>4358.3856518700004</v>
      </c>
      <c r="AA12" s="323">
        <f t="shared" si="8"/>
        <v>5198.2561341866531</v>
      </c>
    </row>
    <row r="13" spans="1:29" ht="19.95" customHeight="1" thickBot="1" x14ac:dyDescent="0.35">
      <c r="A13" s="408"/>
      <c r="B13" s="413"/>
      <c r="C13" s="367" t="s">
        <v>59</v>
      </c>
      <c r="D13" s="304">
        <f t="shared" si="0"/>
        <v>2</v>
      </c>
      <c r="E13" s="317" t="s">
        <v>5</v>
      </c>
      <c r="F13" s="368"/>
      <c r="G13" s="402"/>
      <c r="H13" s="404"/>
      <c r="I13" s="348"/>
      <c r="J13" s="303">
        <f>IF(E13="A",'HS - Lane and Step Schedule'!B$7,IF(E13="B",'HS - Lane and Step Schedule'!D$7,IF(E13="C",'HS - Lane and Step Schedule'!F$7,IF(E13="D",'HS - Lane and Step Schedule'!H$7,IF(E13="E",'HS - Lane and Step Schedule'!J$7,IF(E13="F",'HS - Lane and Step Schedule'!L$7,IF(E13="G",'HS - Lane and Step Schedule'!N$7,IF(E13="H",'HS - Lane and Step Schedule'!P$7,IF(E13="I",'HS - Lane and Step Schedule'!R$7,IF(E13="J",'HS - Lane and Step Schedule'!T$7))))))))))</f>
        <v>6.6688999999999998E-2</v>
      </c>
      <c r="K13" s="308">
        <f t="shared" si="1"/>
        <v>2636.5542832299998</v>
      </c>
      <c r="L13" s="303">
        <f>IF(E13="A",'HS - Lane and Step Schedule'!B$16,IF(E13="B",'HS - Lane and Step Schedule'!D$16,IF(E13="C",'HS - Lane and Step Schedule'!F$16,IF(E13="D",'HS - Lane and Step Schedule'!H$16,IF(E13="E",'HS - Lane and Step Schedule'!J$16,IF(E13="F",'HS - Lane and Step Schedule'!L$16,IF(E13="G",'HS - Lane and Step Schedule'!N$16,IF(E13="H",'HS - Lane and Step Schedule'!P$16,IF(E13="I",'HS - Lane and Step Schedule'!R$16,IF(E13="J",'HS - Lane and Step Schedule'!T$16))))))))))</f>
        <v>7.7200853624999996E-2</v>
      </c>
      <c r="M13" s="308">
        <f t="shared" si="2"/>
        <v>3052.1411521241284</v>
      </c>
      <c r="N13" s="303">
        <f>IF(E13="A",'HS - Lane and Step Schedule'!B$25,IF(E13="B",'HS - Lane and Step Schedule'!D$25,IF(E13="C",'HS - Lane and Step Schedule'!F$25,IF(E13="D",'HS - Lane and Step Schedule'!H$25,IF(E13="E",'HS - Lane and Step Schedule'!J$25,IF(E13="F",'HS - Lane and Step Schedule'!L$25,IF(E13="G",'HS - Lane and Step Schedule'!N$25,IF(E13="H",'HS - Lane and Step Schedule'!P$25,IF(E13="I",'HS - Lane and Step Schedule'!R$25,IF(E13="J",'HS - Lane and Step Schedule'!T$25))))))))))</f>
        <v>7.9540116690691137E-2</v>
      </c>
      <c r="O13" s="308">
        <f t="shared" si="3"/>
        <v>3144.6240811746425</v>
      </c>
      <c r="P13" s="320">
        <v>2</v>
      </c>
      <c r="Q13" s="305">
        <v>1</v>
      </c>
      <c r="R13" s="309">
        <f t="shared" si="4"/>
        <v>3052</v>
      </c>
      <c r="S13" s="309"/>
      <c r="T13" s="310"/>
      <c r="U13" s="310"/>
      <c r="V13" s="306"/>
      <c r="X13" s="252" t="str">
        <f t="shared" ref="X13" si="21">+A12</f>
        <v>Band</v>
      </c>
      <c r="Y13" s="252" t="str">
        <f t="shared" si="6"/>
        <v>Assistant Advisor</v>
      </c>
      <c r="Z13" s="323">
        <f t="shared" si="7"/>
        <v>2636.5542832299998</v>
      </c>
      <c r="AA13" s="323">
        <f t="shared" si="8"/>
        <v>3144.6240811746425</v>
      </c>
    </row>
    <row r="14" spans="1:29" ht="19.95" customHeight="1" x14ac:dyDescent="0.3">
      <c r="A14" s="407" t="s">
        <v>12</v>
      </c>
      <c r="B14" s="409">
        <f>+S14</f>
        <v>12894</v>
      </c>
      <c r="C14" s="365" t="s">
        <v>57</v>
      </c>
      <c r="D14" s="313">
        <f t="shared" si="0"/>
        <v>1</v>
      </c>
      <c r="E14" s="316" t="s">
        <v>22</v>
      </c>
      <c r="F14" s="366"/>
      <c r="G14" s="401" t="s">
        <v>124</v>
      </c>
      <c r="H14" s="403" t="s">
        <v>257</v>
      </c>
      <c r="I14" s="348"/>
      <c r="J14" s="297">
        <f>IF(E14="A",'HS - Lane and Step Schedule'!B$7,IF(E14="B",'HS - Lane and Step Schedule'!D$7,IF(E14="C",'HS - Lane and Step Schedule'!F$7,IF(E14="D",'HS - Lane and Step Schedule'!H$7,IF(E14="E",'HS - Lane and Step Schedule'!J$7,IF(E14="F",'HS - Lane and Step Schedule'!L$7,IF(E14="G",'HS - Lane and Step Schedule'!N$7,IF(E14="H",'HS - Lane and Step Schedule'!P$7,IF(E14="I",'HS - Lane and Step Schedule'!R$7,IF(E14="J",'HS - Lane and Step Schedule'!T$7))))))))))</f>
        <v>9.7991999999999996E-2</v>
      </c>
      <c r="K14" s="307">
        <f t="shared" si="1"/>
        <v>3874.1205794399998</v>
      </c>
      <c r="L14" s="297">
        <f>IF(E14="A",'HS - Lane and Step Schedule'!B$16,IF(E14="B",'HS - Lane and Step Schedule'!D$16,IF(E14="C",'HS - Lane and Step Schedule'!F$16,IF(E14="D",'HS - Lane and Step Schedule'!H$16,IF(E14="E",'HS - Lane and Step Schedule'!J$16,IF(E14="F",'HS - Lane and Step Schedule'!L$16,IF(E14="G",'HS - Lane and Step Schedule'!N$16,IF(E14="H",'HS - Lane and Step Schedule'!P$16,IF(E14="I",'HS - Lane and Step Schedule'!R$16,IF(E14="J",'HS - Lane and Step Schedule'!T$16))))))))))</f>
        <v>0.11343798900000002</v>
      </c>
      <c r="M14" s="307">
        <f t="shared" si="2"/>
        <v>4484.7788357742311</v>
      </c>
      <c r="N14" s="297">
        <f>IF(E14="A",'HS - Lane and Step Schedule'!B$25,IF(E14="B",'HS - Lane and Step Schedule'!D$25,IF(E14="C",'HS - Lane and Step Schedule'!F$25,IF(E14="D",'HS - Lane and Step Schedule'!H$25,IF(E14="E",'HS - Lane and Step Schedule'!J$25,IF(E14="F",'HS - Lane and Step Schedule'!L$25,IF(E14="G",'HS - Lane and Step Schedule'!N$25,IF(E14="H",'HS - Lane and Step Schedule'!P$25,IF(E14="I",'HS - Lane and Step Schedule'!R$25,IF(E14="J",'HS - Lane and Step Schedule'!T$25))))))))))</f>
        <v>0.11687527350468901</v>
      </c>
      <c r="O14" s="307">
        <f t="shared" si="3"/>
        <v>4620.6721192770256</v>
      </c>
      <c r="P14" s="319">
        <v>1</v>
      </c>
      <c r="Q14" s="296">
        <v>1</v>
      </c>
      <c r="R14" s="298">
        <f t="shared" si="4"/>
        <v>4485</v>
      </c>
      <c r="S14" s="298">
        <f>+R14+R15</f>
        <v>12894</v>
      </c>
      <c r="T14" s="298">
        <f>+S14*0.3134</f>
        <v>4040.9796000000001</v>
      </c>
      <c r="U14" s="298">
        <f>+S14+T14</f>
        <v>16934.979599999999</v>
      </c>
      <c r="V14" s="302"/>
      <c r="X14" s="252" t="str">
        <f t="shared" ref="X14" si="22">+A14</f>
        <v>Baseball</v>
      </c>
      <c r="Y14" s="252" t="str">
        <f t="shared" si="6"/>
        <v>Head Coach</v>
      </c>
      <c r="Z14" s="323">
        <f t="shared" si="7"/>
        <v>3874.1205794399998</v>
      </c>
      <c r="AA14" s="323">
        <f t="shared" si="8"/>
        <v>4620.6721192770256</v>
      </c>
    </row>
    <row r="15" spans="1:29" ht="19.95" customHeight="1" thickBot="1" x14ac:dyDescent="0.35">
      <c r="A15" s="408"/>
      <c r="B15" s="413"/>
      <c r="C15" s="367" t="s">
        <v>56</v>
      </c>
      <c r="D15" s="304">
        <f t="shared" si="0"/>
        <v>6</v>
      </c>
      <c r="E15" s="317" t="s">
        <v>23</v>
      </c>
      <c r="F15" s="368"/>
      <c r="G15" s="402"/>
      <c r="H15" s="404"/>
      <c r="I15" s="348"/>
      <c r="J15" s="303">
        <f>IF(E15="A",'HS - Lane and Step Schedule'!B$7,IF(E15="B",'HS - Lane and Step Schedule'!D$7,IF(E15="C",'HS - Lane and Step Schedule'!F$7,IF(E15="D",'HS - Lane and Step Schedule'!H$7,IF(E15="E",'HS - Lane and Step Schedule'!J$7,IF(E15="F",'HS - Lane and Step Schedule'!L$7,IF(E15="G",'HS - Lane and Step Schedule'!N$7,IF(E15="H",'HS - Lane and Step Schedule'!P$7,IF(E15="I",'HS - Lane and Step Schedule'!R$7,IF(E15="J",'HS - Lane and Step Schedule'!T$7))))))))))</f>
        <v>6.1245000000000001E-2</v>
      </c>
      <c r="K15" s="308">
        <f t="shared" si="1"/>
        <v>2421.3253621499998</v>
      </c>
      <c r="L15" s="303">
        <f>IF(E15="A",'HS - Lane and Step Schedule'!B$16,IF(E15="B",'HS - Lane and Step Schedule'!D$16,IF(E15="C",'HS - Lane and Step Schedule'!F$16,IF(E15="D",'HS - Lane and Step Schedule'!H$16,IF(E15="E",'HS - Lane and Step Schedule'!J$16,IF(E15="F",'HS - Lane and Step Schedule'!L$16,IF(E15="G",'HS - Lane and Step Schedule'!N$16,IF(E15="H",'HS - Lane and Step Schedule'!P$16,IF(E15="I",'HS - Lane and Step Schedule'!R$16,IF(E15="J",'HS - Lane and Step Schedule'!T$16))))))))))</f>
        <v>7.0898743125000011E-2</v>
      </c>
      <c r="M15" s="308">
        <f t="shared" si="2"/>
        <v>2802.9867723588941</v>
      </c>
      <c r="N15" s="303">
        <f>IF(E15="A",'HS - Lane and Step Schedule'!B$25,IF(E15="B",'HS - Lane and Step Schedule'!D$25,IF(E15="C",'HS - Lane and Step Schedule'!F$25,IF(E15="D",'HS - Lane and Step Schedule'!H$25,IF(E15="E",'HS - Lane and Step Schedule'!J$25,IF(E15="F",'HS - Lane and Step Schedule'!L$25,IF(E15="G",'HS - Lane and Step Schedule'!N$25,IF(E15="H",'HS - Lane and Step Schedule'!P$25,IF(E15="I",'HS - Lane and Step Schedule'!R$25,IF(E15="J",'HS - Lane and Step Schedule'!T$25))))))))))</f>
        <v>7.3047045940430641E-2</v>
      </c>
      <c r="O15" s="308">
        <f t="shared" si="3"/>
        <v>2887.9200745481412</v>
      </c>
      <c r="P15" s="320">
        <v>6</v>
      </c>
      <c r="Q15" s="305">
        <v>3</v>
      </c>
      <c r="R15" s="309">
        <f t="shared" si="4"/>
        <v>8409</v>
      </c>
      <c r="S15" s="309"/>
      <c r="T15" s="310"/>
      <c r="U15" s="310"/>
      <c r="V15" s="306"/>
      <c r="X15" s="252" t="str">
        <f t="shared" ref="X15" si="23">+A14</f>
        <v>Baseball</v>
      </c>
      <c r="Y15" s="252" t="str">
        <f t="shared" si="6"/>
        <v>Assistant Coach</v>
      </c>
      <c r="Z15" s="323">
        <f t="shared" si="7"/>
        <v>2421.3253621499998</v>
      </c>
      <c r="AA15" s="323">
        <f t="shared" si="8"/>
        <v>2887.9200745481412</v>
      </c>
    </row>
    <row r="16" spans="1:29" s="2" customFormat="1" ht="19.95" customHeight="1" x14ac:dyDescent="0.3">
      <c r="A16" s="407" t="s">
        <v>6</v>
      </c>
      <c r="B16" s="409">
        <f>+S16</f>
        <v>18656</v>
      </c>
      <c r="C16" s="365" t="s">
        <v>57</v>
      </c>
      <c r="D16" s="313">
        <f t="shared" si="0"/>
        <v>1</v>
      </c>
      <c r="E16" s="316" t="s">
        <v>2</v>
      </c>
      <c r="F16" s="366"/>
      <c r="G16" s="401" t="s">
        <v>123</v>
      </c>
      <c r="H16" s="403" t="s">
        <v>258</v>
      </c>
      <c r="I16" s="348"/>
      <c r="J16" s="297">
        <f>IF(E16="A",'HS - Lane and Step Schedule'!B$7,IF(E16="B",'HS - Lane and Step Schedule'!D$7,IF(E16="C",'HS - Lane and Step Schedule'!F$7,IF(E16="D",'HS - Lane and Step Schedule'!H$7,IF(E16="E",'HS - Lane and Step Schedule'!J$7,IF(E16="F",'HS - Lane and Step Schedule'!L$7,IF(E16="G",'HS - Lane and Step Schedule'!N$7,IF(E16="H",'HS - Lane and Step Schedule'!P$7,IF(E16="I",'HS - Lane and Step Schedule'!R$7,IF(E16="J",'HS - Lane and Step Schedule'!T$7))))))))))</f>
        <v>0.1361</v>
      </c>
      <c r="K16" s="307">
        <f t="shared" si="1"/>
        <v>5380.723027</v>
      </c>
      <c r="L16" s="297">
        <f>IF(E16="A",'HS - Lane and Step Schedule'!B$16,IF(E16="B",'HS - Lane and Step Schedule'!D$16,IF(E16="C",'HS - Lane and Step Schedule'!F$16,IF(E16="D",'HS - Lane and Step Schedule'!H$16,IF(E16="E",'HS - Lane and Step Schedule'!J$16,IF(E16="F",'HS - Lane and Step Schedule'!L$16,IF(E16="G",'HS - Lane and Step Schedule'!N$16,IF(E16="H",'HS - Lane and Step Schedule'!P$16,IF(E16="I",'HS - Lane and Step Schedule'!R$16,IF(E16="J",'HS - Lane and Step Schedule'!T$16))))))))))</f>
        <v>0.15755276250000003</v>
      </c>
      <c r="M16" s="307">
        <f t="shared" si="2"/>
        <v>6228.8594941308756</v>
      </c>
      <c r="N16" s="297">
        <f>IF(E16="A",'HS - Lane and Step Schedule'!B$25,IF(E16="B",'HS - Lane and Step Schedule'!D$25,IF(E16="C",'HS - Lane and Step Schedule'!F$25,IF(E16="D",'HS - Lane and Step Schedule'!H$25,IF(E16="E",'HS - Lane and Step Schedule'!J$25,IF(E16="F",'HS - Lane and Step Schedule'!L$25,IF(E16="G",'HS - Lane and Step Schedule'!N$25,IF(E16="H",'HS - Lane and Step Schedule'!P$25,IF(E16="I",'HS - Lane and Step Schedule'!R$25,IF(E16="J",'HS - Lane and Step Schedule'!T$25))))))))))</f>
        <v>0.1623267687565125</v>
      </c>
      <c r="O16" s="307">
        <f t="shared" si="3"/>
        <v>6417.6001656625349</v>
      </c>
      <c r="P16" s="319">
        <v>1</v>
      </c>
      <c r="Q16" s="296">
        <v>1</v>
      </c>
      <c r="R16" s="298">
        <f t="shared" si="4"/>
        <v>6229</v>
      </c>
      <c r="S16" s="298">
        <f>+R16+R17</f>
        <v>18656</v>
      </c>
      <c r="T16" s="298">
        <f>+S16*0.3134</f>
        <v>5846.7903999999999</v>
      </c>
      <c r="U16" s="298">
        <f>+S16+T16</f>
        <v>24502.790399999998</v>
      </c>
      <c r="V16" s="302"/>
      <c r="X16" s="252" t="str">
        <f t="shared" ref="X16" si="24">+A16</f>
        <v>Basketball - Boys</v>
      </c>
      <c r="Y16" s="252" t="str">
        <f t="shared" si="6"/>
        <v>Head Coach</v>
      </c>
      <c r="Z16" s="323">
        <f t="shared" si="7"/>
        <v>5380.723027</v>
      </c>
      <c r="AA16" s="323">
        <f t="shared" si="8"/>
        <v>6417.6001656625349</v>
      </c>
    </row>
    <row r="17" spans="1:27" s="2" customFormat="1" ht="19.95" customHeight="1" thickBot="1" x14ac:dyDescent="0.35">
      <c r="A17" s="408"/>
      <c r="B17" s="413"/>
      <c r="C17" s="367" t="s">
        <v>56</v>
      </c>
      <c r="D17" s="304">
        <f t="shared" si="0"/>
        <v>8</v>
      </c>
      <c r="E17" s="374" t="s">
        <v>77</v>
      </c>
      <c r="F17" s="368"/>
      <c r="G17" s="402"/>
      <c r="H17" s="404"/>
      <c r="I17" s="348"/>
      <c r="J17" s="303">
        <f>IF(E17="A",'HS - Lane and Step Schedule'!B$7,IF(E17="B",'HS - Lane and Step Schedule'!D$7,IF(E17="C",'HS - Lane and Step Schedule'!F$7,IF(E17="D",'HS - Lane and Step Schedule'!H$7,IF(E17="E",'HS - Lane and Step Schedule'!J$7,IF(E17="F",'HS - Lane and Step Schedule'!L$7,IF(E17="G",'HS - Lane and Step Schedule'!N$7,IF(E17="H",'HS - Lane and Step Schedule'!P$7,IF(E17="I",'HS - Lane and Step Schedule'!R$7,IF(E17="J",'HS - Lane and Step Schedule'!T$7))))))))))</f>
        <v>7.7576999999999993E-2</v>
      </c>
      <c r="K17" s="308">
        <f t="shared" si="1"/>
        <v>3067.0121253899997</v>
      </c>
      <c r="L17" s="303">
        <f>IF(E17="A",'HS - Lane and Step Schedule'!B$16,IF(E17="B",'HS - Lane and Step Schedule'!D$16,IF(E17="C",'HS - Lane and Step Schedule'!F$16,IF(E17="D",'HS - Lane and Step Schedule'!H$16,IF(E17="E",'HS - Lane and Step Schedule'!J$16,IF(E17="F",'HS - Lane and Step Schedule'!L$16,IF(E17="G",'HS - Lane and Step Schedule'!N$16,IF(E17="H",'HS - Lane and Step Schedule'!P$16,IF(E17="I",'HS - Lane and Step Schedule'!R$16,IF(E17="J",'HS - Lane and Step Schedule'!T$16))))))))))</f>
        <v>8.9805074625000009E-2</v>
      </c>
      <c r="M17" s="308">
        <f t="shared" si="2"/>
        <v>3550.449911654599</v>
      </c>
      <c r="N17" s="303">
        <f>IF(E17="A",'HS - Lane and Step Schedule'!B$25,IF(E17="B",'HS - Lane and Step Schedule'!D$25,IF(E17="C",'HS - Lane and Step Schedule'!F$25,IF(E17="D",'HS - Lane and Step Schedule'!H$25,IF(E17="E",'HS - Lane and Step Schedule'!J$25,IF(E17="F",'HS - Lane and Step Schedule'!L$25,IF(E17="G",'HS - Lane and Step Schedule'!N$25,IF(E17="H",'HS - Lane and Step Schedule'!P$25,IF(E17="I",'HS - Lane and Step Schedule'!R$25,IF(E17="J",'HS - Lane and Step Schedule'!T$25))))))))))</f>
        <v>9.252625819121213E-2</v>
      </c>
      <c r="O17" s="308">
        <f t="shared" si="3"/>
        <v>3658.032094427645</v>
      </c>
      <c r="P17" s="320">
        <v>8</v>
      </c>
      <c r="Q17" s="320">
        <v>3.5</v>
      </c>
      <c r="R17" s="309">
        <f t="shared" si="4"/>
        <v>12427</v>
      </c>
      <c r="S17" s="309"/>
      <c r="T17" s="310"/>
      <c r="U17" s="310"/>
      <c r="V17" s="306"/>
      <c r="X17" s="252" t="str">
        <f t="shared" ref="X17" si="25">+A16</f>
        <v>Basketball - Boys</v>
      </c>
      <c r="Y17" s="252" t="str">
        <f t="shared" si="6"/>
        <v>Assistant Coach</v>
      </c>
      <c r="Z17" s="323">
        <f t="shared" si="7"/>
        <v>3067.0121253899997</v>
      </c>
      <c r="AA17" s="323">
        <f t="shared" si="8"/>
        <v>3658.032094427645</v>
      </c>
    </row>
    <row r="18" spans="1:27" s="2" customFormat="1" ht="19.95" customHeight="1" x14ac:dyDescent="0.3">
      <c r="A18" s="407" t="s">
        <v>7</v>
      </c>
      <c r="B18" s="409">
        <f>+S18</f>
        <v>18656</v>
      </c>
      <c r="C18" s="365" t="s">
        <v>57</v>
      </c>
      <c r="D18" s="313">
        <f t="shared" si="0"/>
        <v>1</v>
      </c>
      <c r="E18" s="316" t="s">
        <v>2</v>
      </c>
      <c r="F18" s="366"/>
      <c r="G18" s="401" t="s">
        <v>123</v>
      </c>
      <c r="H18" s="403" t="s">
        <v>258</v>
      </c>
      <c r="I18" s="348"/>
      <c r="J18" s="297">
        <f>IF(E18="A",'HS - Lane and Step Schedule'!B$7,IF(E18="B",'HS - Lane and Step Schedule'!D$7,IF(E18="C",'HS - Lane and Step Schedule'!F$7,IF(E18="D",'HS - Lane and Step Schedule'!H$7,IF(E18="E",'HS - Lane and Step Schedule'!J$7,IF(E18="F",'HS - Lane and Step Schedule'!L$7,IF(E18="G",'HS - Lane and Step Schedule'!N$7,IF(E18="H",'HS - Lane and Step Schedule'!P$7,IF(E18="I",'HS - Lane and Step Schedule'!R$7,IF(E18="J",'HS - Lane and Step Schedule'!T$7))))))))))</f>
        <v>0.1361</v>
      </c>
      <c r="K18" s="307">
        <f t="shared" si="1"/>
        <v>5380.723027</v>
      </c>
      <c r="L18" s="297">
        <f>IF(E18="A",'HS - Lane and Step Schedule'!B$16,IF(E18="B",'HS - Lane and Step Schedule'!D$16,IF(E18="C",'HS - Lane and Step Schedule'!F$16,IF(E18="D",'HS - Lane and Step Schedule'!H$16,IF(E18="E",'HS - Lane and Step Schedule'!J$16,IF(E18="F",'HS - Lane and Step Schedule'!L$16,IF(E18="G",'HS - Lane and Step Schedule'!N$16,IF(E18="H",'HS - Lane and Step Schedule'!P$16,IF(E18="I",'HS - Lane and Step Schedule'!R$16,IF(E18="J",'HS - Lane and Step Schedule'!T$16))))))))))</f>
        <v>0.15755276250000003</v>
      </c>
      <c r="M18" s="307">
        <f t="shared" si="2"/>
        <v>6228.8594941308756</v>
      </c>
      <c r="N18" s="297">
        <f>IF(E18="A",'HS - Lane and Step Schedule'!B$25,IF(E18="B",'HS - Lane and Step Schedule'!D$25,IF(E18="C",'HS - Lane and Step Schedule'!F$25,IF(E18="D",'HS - Lane and Step Schedule'!H$25,IF(E18="E",'HS - Lane and Step Schedule'!J$25,IF(E18="F",'HS - Lane and Step Schedule'!L$25,IF(E18="G",'HS - Lane and Step Schedule'!N$25,IF(E18="H",'HS - Lane and Step Schedule'!P$25,IF(E18="I",'HS - Lane and Step Schedule'!R$25,IF(E18="J",'HS - Lane and Step Schedule'!T$25))))))))))</f>
        <v>0.1623267687565125</v>
      </c>
      <c r="O18" s="307">
        <f t="shared" si="3"/>
        <v>6417.6001656625349</v>
      </c>
      <c r="P18" s="319">
        <v>1</v>
      </c>
      <c r="Q18" s="296">
        <v>1</v>
      </c>
      <c r="R18" s="298">
        <f t="shared" si="4"/>
        <v>6229</v>
      </c>
      <c r="S18" s="298">
        <f>+R18+R19</f>
        <v>18656</v>
      </c>
      <c r="T18" s="298">
        <f>+S18*0.3134</f>
        <v>5846.7903999999999</v>
      </c>
      <c r="U18" s="298">
        <f>+S18+T18</f>
        <v>24502.790399999998</v>
      </c>
      <c r="V18" s="302"/>
      <c r="X18" s="252" t="str">
        <f t="shared" ref="X18" si="26">+A18</f>
        <v>Basketball - Girls</v>
      </c>
      <c r="Y18" s="252" t="str">
        <f t="shared" si="6"/>
        <v>Head Coach</v>
      </c>
      <c r="Z18" s="323">
        <f t="shared" si="7"/>
        <v>5380.723027</v>
      </c>
      <c r="AA18" s="323">
        <f t="shared" si="8"/>
        <v>6417.6001656625349</v>
      </c>
    </row>
    <row r="19" spans="1:27" s="2" customFormat="1" ht="19.95" customHeight="1" thickBot="1" x14ac:dyDescent="0.35">
      <c r="A19" s="408"/>
      <c r="B19" s="413"/>
      <c r="C19" s="367" t="s">
        <v>56</v>
      </c>
      <c r="D19" s="304">
        <f t="shared" si="0"/>
        <v>8</v>
      </c>
      <c r="E19" s="374" t="s">
        <v>77</v>
      </c>
      <c r="F19" s="368"/>
      <c r="G19" s="402"/>
      <c r="H19" s="404"/>
      <c r="I19" s="348"/>
      <c r="J19" s="303">
        <f>IF(E19="A",'HS - Lane and Step Schedule'!B$7,IF(E19="B",'HS - Lane and Step Schedule'!D$7,IF(E19="C",'HS - Lane and Step Schedule'!F$7,IF(E19="D",'HS - Lane and Step Schedule'!H$7,IF(E19="E",'HS - Lane and Step Schedule'!J$7,IF(E19="F",'HS - Lane and Step Schedule'!L$7,IF(E19="G",'HS - Lane and Step Schedule'!N$7,IF(E19="H",'HS - Lane and Step Schedule'!P$7,IF(E19="I",'HS - Lane and Step Schedule'!R$7,IF(E19="J",'HS - Lane and Step Schedule'!T$7))))))))))</f>
        <v>7.7576999999999993E-2</v>
      </c>
      <c r="K19" s="308">
        <f t="shared" si="1"/>
        <v>3067.0121253899997</v>
      </c>
      <c r="L19" s="303">
        <f>IF(E19="A",'HS - Lane and Step Schedule'!B$16,IF(E19="B",'HS - Lane and Step Schedule'!D$16,IF(E19="C",'HS - Lane and Step Schedule'!F$16,IF(E19="D",'HS - Lane and Step Schedule'!H$16,IF(E19="E",'HS - Lane and Step Schedule'!J$16,IF(E19="F",'HS - Lane and Step Schedule'!L$16,IF(E19="G",'HS - Lane and Step Schedule'!N$16,IF(E19="H",'HS - Lane and Step Schedule'!P$16,IF(E19="I",'HS - Lane and Step Schedule'!R$16,IF(E19="J",'HS - Lane and Step Schedule'!T$16))))))))))</f>
        <v>8.9805074625000009E-2</v>
      </c>
      <c r="M19" s="308">
        <f t="shared" si="2"/>
        <v>3550.449911654599</v>
      </c>
      <c r="N19" s="303">
        <f>IF(E19="A",'HS - Lane and Step Schedule'!B$25,IF(E19="B",'HS - Lane and Step Schedule'!D$25,IF(E19="C",'HS - Lane and Step Schedule'!F$25,IF(E19="D",'HS - Lane and Step Schedule'!H$25,IF(E19="E",'HS - Lane and Step Schedule'!J$25,IF(E19="F",'HS - Lane and Step Schedule'!L$25,IF(E19="G",'HS - Lane and Step Schedule'!N$25,IF(E19="H",'HS - Lane and Step Schedule'!P$25,IF(E19="I",'HS - Lane and Step Schedule'!R$25,IF(E19="J",'HS - Lane and Step Schedule'!T$25))))))))))</f>
        <v>9.252625819121213E-2</v>
      </c>
      <c r="O19" s="308">
        <f t="shared" si="3"/>
        <v>3658.032094427645</v>
      </c>
      <c r="P19" s="320">
        <v>8</v>
      </c>
      <c r="Q19" s="320">
        <v>3.5</v>
      </c>
      <c r="R19" s="309">
        <f t="shared" si="4"/>
        <v>12427</v>
      </c>
      <c r="S19" s="309"/>
      <c r="T19" s="310"/>
      <c r="U19" s="310"/>
      <c r="V19" s="306"/>
      <c r="X19" s="252" t="str">
        <f t="shared" ref="X19" si="27">+A18</f>
        <v>Basketball - Girls</v>
      </c>
      <c r="Y19" s="252" t="str">
        <f t="shared" si="6"/>
        <v>Assistant Coach</v>
      </c>
      <c r="Z19" s="323">
        <f t="shared" si="7"/>
        <v>3067.0121253899997</v>
      </c>
      <c r="AA19" s="323">
        <f t="shared" si="8"/>
        <v>3658.032094427645</v>
      </c>
    </row>
    <row r="20" spans="1:27" s="2" customFormat="1" ht="19.95" customHeight="1" x14ac:dyDescent="0.3">
      <c r="A20" s="407" t="s">
        <v>24</v>
      </c>
      <c r="B20" s="409">
        <f>+S20</f>
        <v>8097</v>
      </c>
      <c r="C20" s="365" t="s">
        <v>58</v>
      </c>
      <c r="D20" s="313">
        <f t="shared" si="0"/>
        <v>1</v>
      </c>
      <c r="E20" s="316" t="s">
        <v>4</v>
      </c>
      <c r="F20" s="366"/>
      <c r="G20" s="401" t="s">
        <v>255</v>
      </c>
      <c r="H20" s="403" t="s">
        <v>256</v>
      </c>
      <c r="I20" s="348"/>
      <c r="J20" s="297">
        <f>IF(E20="A",'HS - Lane and Step Schedule'!B$7,IF(E20="B",'HS - Lane and Step Schedule'!D$7,IF(E20="C",'HS - Lane and Step Schedule'!F$7,IF(E20="D",'HS - Lane and Step Schedule'!H$7,IF(E20="E",'HS - Lane and Step Schedule'!J$7,IF(E20="F",'HS - Lane and Step Schedule'!L$7,IF(E20="G",'HS - Lane and Step Schedule'!N$7,IF(E20="H",'HS - Lane and Step Schedule'!P$7,IF(E20="I",'HS - Lane and Step Schedule'!R$7,IF(E20="J",'HS - Lane and Step Schedule'!T$7))))))))))</f>
        <v>0.11024100000000001</v>
      </c>
      <c r="K20" s="307">
        <f t="shared" si="1"/>
        <v>4358.3856518700004</v>
      </c>
      <c r="L20" s="297">
        <f>IF(E20="A",'HS - Lane and Step Schedule'!B$16,IF(E20="B",'HS - Lane and Step Schedule'!D$16,IF(E20="C",'HS - Lane and Step Schedule'!F$16,IF(E20="D",'HS - Lane and Step Schedule'!H$16,IF(E20="E",'HS - Lane and Step Schedule'!J$16,IF(E20="F",'HS - Lane and Step Schedule'!L$16,IF(E20="G",'HS - Lane and Step Schedule'!N$16,IF(E20="H",'HS - Lane and Step Schedule'!P$16,IF(E20="I",'HS - Lane and Step Schedule'!R$16,IF(E20="J",'HS - Lane and Step Schedule'!T$16))))))))))</f>
        <v>0.12761773762500003</v>
      </c>
      <c r="M20" s="307">
        <f t="shared" si="2"/>
        <v>5045.3761902460101</v>
      </c>
      <c r="N20" s="297">
        <f>IF(E20="A",'HS - Lane and Step Schedule'!B$25,IF(E20="B",'HS - Lane and Step Schedule'!D$25,IF(E20="C",'HS - Lane and Step Schedule'!F$25,IF(E20="D",'HS - Lane and Step Schedule'!H$25,IF(E20="E",'HS - Lane and Step Schedule'!J$25,IF(E20="F",'HS - Lane and Step Schedule'!L$25,IF(E20="G",'HS - Lane and Step Schedule'!N$25,IF(E20="H",'HS - Lane and Step Schedule'!P$25,IF(E20="I",'HS - Lane and Step Schedule'!R$25,IF(E20="J",'HS - Lane and Step Schedule'!T$25))))))))))</f>
        <v>0.13148468269277513</v>
      </c>
      <c r="O20" s="307">
        <f t="shared" si="3"/>
        <v>5198.2561341866531</v>
      </c>
      <c r="P20" s="319">
        <v>1</v>
      </c>
      <c r="Q20" s="296">
        <v>1</v>
      </c>
      <c r="R20" s="298">
        <f t="shared" si="4"/>
        <v>5045</v>
      </c>
      <c r="S20" s="298">
        <f>+R20+R21</f>
        <v>8097</v>
      </c>
      <c r="T20" s="298">
        <f>+S20*0.3134</f>
        <v>2537.5998</v>
      </c>
      <c r="U20" s="298">
        <f>+S20+T20</f>
        <v>10634.5998</v>
      </c>
      <c r="V20" s="302"/>
      <c r="X20" s="252" t="str">
        <f t="shared" ref="X20" si="28">+A20</f>
        <v>Cheerleading</v>
      </c>
      <c r="Y20" s="252" t="str">
        <f t="shared" si="6"/>
        <v>Head Advisor</v>
      </c>
      <c r="Z20" s="323">
        <f t="shared" si="7"/>
        <v>4358.3856518700004</v>
      </c>
      <c r="AA20" s="323">
        <f t="shared" si="8"/>
        <v>5198.2561341866531</v>
      </c>
    </row>
    <row r="21" spans="1:27" s="2" customFormat="1" ht="19.95" customHeight="1" thickBot="1" x14ac:dyDescent="0.35">
      <c r="A21" s="408"/>
      <c r="B21" s="413"/>
      <c r="C21" s="367" t="s">
        <v>59</v>
      </c>
      <c r="D21" s="304">
        <f t="shared" si="0"/>
        <v>3</v>
      </c>
      <c r="E21" s="317" t="s">
        <v>5</v>
      </c>
      <c r="F21" s="368"/>
      <c r="G21" s="402"/>
      <c r="H21" s="404"/>
      <c r="I21" s="348"/>
      <c r="J21" s="303">
        <f>IF(E21="A",'HS - Lane and Step Schedule'!B$7,IF(E21="B",'HS - Lane and Step Schedule'!D$7,IF(E21="C",'HS - Lane and Step Schedule'!F$7,IF(E21="D",'HS - Lane and Step Schedule'!H$7,IF(E21="E",'HS - Lane and Step Schedule'!J$7,IF(E21="F",'HS - Lane and Step Schedule'!L$7,IF(E21="G",'HS - Lane and Step Schedule'!N$7,IF(E21="H",'HS - Lane and Step Schedule'!P$7,IF(E21="I",'HS - Lane and Step Schedule'!R$7,IF(E21="J",'HS - Lane and Step Schedule'!T$7))))))))))</f>
        <v>6.6688999999999998E-2</v>
      </c>
      <c r="K21" s="308">
        <f t="shared" si="1"/>
        <v>2636.5542832299998</v>
      </c>
      <c r="L21" s="303">
        <f>IF(E21="A",'HS - Lane and Step Schedule'!B$16,IF(E21="B",'HS - Lane and Step Schedule'!D$16,IF(E21="C",'HS - Lane and Step Schedule'!F$16,IF(E21="D",'HS - Lane and Step Schedule'!H$16,IF(E21="E",'HS - Lane and Step Schedule'!J$16,IF(E21="F",'HS - Lane and Step Schedule'!L$16,IF(E21="G",'HS - Lane and Step Schedule'!N$16,IF(E21="H",'HS - Lane and Step Schedule'!P$16,IF(E21="I",'HS - Lane and Step Schedule'!R$16,IF(E21="J",'HS - Lane and Step Schedule'!T$16))))))))))</f>
        <v>7.7200853624999996E-2</v>
      </c>
      <c r="M21" s="308">
        <f t="shared" si="2"/>
        <v>3052.1411521241284</v>
      </c>
      <c r="N21" s="303">
        <f>IF(E21="A",'HS - Lane and Step Schedule'!B$25,IF(E21="B",'HS - Lane and Step Schedule'!D$25,IF(E21="C",'HS - Lane and Step Schedule'!F$25,IF(E21="D",'HS - Lane and Step Schedule'!H$25,IF(E21="E",'HS - Lane and Step Schedule'!J$25,IF(E21="F",'HS - Lane and Step Schedule'!L$25,IF(E21="G",'HS - Lane and Step Schedule'!N$25,IF(E21="H",'HS - Lane and Step Schedule'!P$25,IF(E21="I",'HS - Lane and Step Schedule'!R$25,IF(E21="J",'HS - Lane and Step Schedule'!T$25))))))))))</f>
        <v>7.9540116690691137E-2</v>
      </c>
      <c r="O21" s="308">
        <f t="shared" si="3"/>
        <v>3144.6240811746425</v>
      </c>
      <c r="P21" s="320">
        <v>3</v>
      </c>
      <c r="Q21" s="305">
        <v>1</v>
      </c>
      <c r="R21" s="309">
        <f t="shared" si="4"/>
        <v>3052</v>
      </c>
      <c r="S21" s="309"/>
      <c r="T21" s="310"/>
      <c r="U21" s="310"/>
      <c r="V21" s="306"/>
      <c r="X21" s="252" t="str">
        <f t="shared" ref="X21" si="29">+A20</f>
        <v>Cheerleading</v>
      </c>
      <c r="Y21" s="252" t="str">
        <f t="shared" si="6"/>
        <v>Assistant Advisor</v>
      </c>
      <c r="Z21" s="323">
        <f t="shared" si="7"/>
        <v>2636.5542832299998</v>
      </c>
      <c r="AA21" s="323">
        <f t="shared" si="8"/>
        <v>3144.6240811746425</v>
      </c>
    </row>
    <row r="22" spans="1:27" s="2" customFormat="1" ht="19.95" customHeight="1" x14ac:dyDescent="0.3">
      <c r="A22" s="407" t="s">
        <v>30</v>
      </c>
      <c r="B22" s="409">
        <f>+S22</f>
        <v>8097</v>
      </c>
      <c r="C22" s="365" t="s">
        <v>58</v>
      </c>
      <c r="D22" s="313">
        <f t="shared" si="0"/>
        <v>1</v>
      </c>
      <c r="E22" s="316" t="s">
        <v>4</v>
      </c>
      <c r="F22" s="366"/>
      <c r="G22" s="401" t="s">
        <v>255</v>
      </c>
      <c r="H22" s="403" t="s">
        <v>256</v>
      </c>
      <c r="I22" s="348"/>
      <c r="J22" s="297">
        <f>IF(E22="A",'HS - Lane and Step Schedule'!B$7,IF(E22="B",'HS - Lane and Step Schedule'!D$7,IF(E22="C",'HS - Lane and Step Schedule'!F$7,IF(E22="D",'HS - Lane and Step Schedule'!H$7,IF(E22="E",'HS - Lane and Step Schedule'!J$7,IF(E22="F",'HS - Lane and Step Schedule'!L$7,IF(E22="G",'HS - Lane and Step Schedule'!N$7,IF(E22="H",'HS - Lane and Step Schedule'!P$7,IF(E22="I",'HS - Lane and Step Schedule'!R$7,IF(E22="J",'HS - Lane and Step Schedule'!T$7))))))))))</f>
        <v>0.11024100000000001</v>
      </c>
      <c r="K22" s="307">
        <f t="shared" si="1"/>
        <v>4358.3856518700004</v>
      </c>
      <c r="L22" s="297">
        <f>IF(E22="A",'HS - Lane and Step Schedule'!B$16,IF(E22="B",'HS - Lane and Step Schedule'!D$16,IF(E22="C",'HS - Lane and Step Schedule'!F$16,IF(E22="D",'HS - Lane and Step Schedule'!H$16,IF(E22="E",'HS - Lane and Step Schedule'!J$16,IF(E22="F",'HS - Lane and Step Schedule'!L$16,IF(E22="G",'HS - Lane and Step Schedule'!N$16,IF(E22="H",'HS - Lane and Step Schedule'!P$16,IF(E22="I",'HS - Lane and Step Schedule'!R$16,IF(E22="J",'HS - Lane and Step Schedule'!T$16))))))))))</f>
        <v>0.12761773762500003</v>
      </c>
      <c r="M22" s="307">
        <f t="shared" si="2"/>
        <v>5045.3761902460101</v>
      </c>
      <c r="N22" s="297">
        <f>IF(E22="A",'HS - Lane and Step Schedule'!B$25,IF(E22="B",'HS - Lane and Step Schedule'!D$25,IF(E22="C",'HS - Lane and Step Schedule'!F$25,IF(E22="D",'HS - Lane and Step Schedule'!H$25,IF(E22="E",'HS - Lane and Step Schedule'!J$25,IF(E22="F",'HS - Lane and Step Schedule'!L$25,IF(E22="G",'HS - Lane and Step Schedule'!N$25,IF(E22="H",'HS - Lane and Step Schedule'!P$25,IF(E22="I",'HS - Lane and Step Schedule'!R$25,IF(E22="J",'HS - Lane and Step Schedule'!T$25))))))))))</f>
        <v>0.13148468269277513</v>
      </c>
      <c r="O22" s="307">
        <f t="shared" si="3"/>
        <v>5198.2561341866531</v>
      </c>
      <c r="P22" s="319">
        <v>1</v>
      </c>
      <c r="Q22" s="296">
        <v>1</v>
      </c>
      <c r="R22" s="298">
        <f t="shared" si="4"/>
        <v>5045</v>
      </c>
      <c r="S22" s="298">
        <f>+R22+R23</f>
        <v>8097</v>
      </c>
      <c r="T22" s="298">
        <f>+S22*0.3134</f>
        <v>2537.5998</v>
      </c>
      <c r="U22" s="298">
        <f>+S22+T22</f>
        <v>10634.5998</v>
      </c>
      <c r="V22" s="302"/>
      <c r="X22" s="252" t="str">
        <f t="shared" ref="X22" si="30">+A22</f>
        <v>Choir</v>
      </c>
      <c r="Y22" s="252" t="str">
        <f t="shared" si="6"/>
        <v>Head Advisor</v>
      </c>
      <c r="Z22" s="323">
        <f t="shared" si="7"/>
        <v>4358.3856518700004</v>
      </c>
      <c r="AA22" s="323">
        <f t="shared" si="8"/>
        <v>5198.2561341866531</v>
      </c>
    </row>
    <row r="23" spans="1:27" s="2" customFormat="1" ht="19.95" customHeight="1" thickBot="1" x14ac:dyDescent="0.35">
      <c r="A23" s="408"/>
      <c r="B23" s="413"/>
      <c r="C23" s="367" t="s">
        <v>59</v>
      </c>
      <c r="D23" s="304">
        <f t="shared" si="0"/>
        <v>2</v>
      </c>
      <c r="E23" s="317" t="s">
        <v>5</v>
      </c>
      <c r="F23" s="368"/>
      <c r="G23" s="402"/>
      <c r="H23" s="404"/>
      <c r="I23" s="348"/>
      <c r="J23" s="303">
        <f>IF(E23="A",'HS - Lane and Step Schedule'!B$7,IF(E23="B",'HS - Lane and Step Schedule'!D$7,IF(E23="C",'HS - Lane and Step Schedule'!F$7,IF(E23="D",'HS - Lane and Step Schedule'!H$7,IF(E23="E",'HS - Lane and Step Schedule'!J$7,IF(E23="F",'HS - Lane and Step Schedule'!L$7,IF(E23="G",'HS - Lane and Step Schedule'!N$7,IF(E23="H",'HS - Lane and Step Schedule'!P$7,IF(E23="I",'HS - Lane and Step Schedule'!R$7,IF(E23="J",'HS - Lane and Step Schedule'!T$7))))))))))</f>
        <v>6.6688999999999998E-2</v>
      </c>
      <c r="K23" s="308">
        <f t="shared" si="1"/>
        <v>2636.5542832299998</v>
      </c>
      <c r="L23" s="303">
        <f>IF(E23="A",'HS - Lane and Step Schedule'!B$16,IF(E23="B",'HS - Lane and Step Schedule'!D$16,IF(E23="C",'HS - Lane and Step Schedule'!F$16,IF(E23="D",'HS - Lane and Step Schedule'!H$16,IF(E23="E",'HS - Lane and Step Schedule'!J$16,IF(E23="F",'HS - Lane and Step Schedule'!L$16,IF(E23="G",'HS - Lane and Step Schedule'!N$16,IF(E23="H",'HS - Lane and Step Schedule'!P$16,IF(E23="I",'HS - Lane and Step Schedule'!R$16,IF(E23="J",'HS - Lane and Step Schedule'!T$16))))))))))</f>
        <v>7.7200853624999996E-2</v>
      </c>
      <c r="M23" s="308">
        <f t="shared" si="2"/>
        <v>3052.1411521241284</v>
      </c>
      <c r="N23" s="303">
        <f>IF(E23="A",'HS - Lane and Step Schedule'!B$25,IF(E23="B",'HS - Lane and Step Schedule'!D$25,IF(E23="C",'HS - Lane and Step Schedule'!F$25,IF(E23="D",'HS - Lane and Step Schedule'!H$25,IF(E23="E",'HS - Lane and Step Schedule'!J$25,IF(E23="F",'HS - Lane and Step Schedule'!L$25,IF(E23="G",'HS - Lane and Step Schedule'!N$25,IF(E23="H",'HS - Lane and Step Schedule'!P$25,IF(E23="I",'HS - Lane and Step Schedule'!R$25,IF(E23="J",'HS - Lane and Step Schedule'!T$25))))))))))</f>
        <v>7.9540116690691137E-2</v>
      </c>
      <c r="O23" s="308">
        <f t="shared" si="3"/>
        <v>3144.6240811746425</v>
      </c>
      <c r="P23" s="320">
        <v>2</v>
      </c>
      <c r="Q23" s="305">
        <v>1</v>
      </c>
      <c r="R23" s="309">
        <f t="shared" si="4"/>
        <v>3052</v>
      </c>
      <c r="S23" s="309"/>
      <c r="T23" s="310"/>
      <c r="U23" s="310"/>
      <c r="V23" s="306"/>
      <c r="X23" s="252" t="str">
        <f t="shared" ref="X23" si="31">+A22</f>
        <v>Choir</v>
      </c>
      <c r="Y23" s="252" t="str">
        <f t="shared" si="6"/>
        <v>Assistant Advisor</v>
      </c>
      <c r="Z23" s="323">
        <f t="shared" si="7"/>
        <v>2636.5542832299998</v>
      </c>
      <c r="AA23" s="323">
        <f t="shared" si="8"/>
        <v>3144.6240811746425</v>
      </c>
    </row>
    <row r="24" spans="1:27" s="2" customFormat="1" ht="19.95" customHeight="1" x14ac:dyDescent="0.3">
      <c r="A24" s="407" t="s">
        <v>244</v>
      </c>
      <c r="B24" s="409">
        <f>+S24</f>
        <v>0</v>
      </c>
      <c r="C24" s="365" t="s">
        <v>58</v>
      </c>
      <c r="D24" s="313">
        <f t="shared" si="0"/>
        <v>0</v>
      </c>
      <c r="E24" s="316"/>
      <c r="F24" s="369" t="s">
        <v>227</v>
      </c>
      <c r="G24" s="401" t="s">
        <v>122</v>
      </c>
      <c r="H24" s="403" t="s">
        <v>259</v>
      </c>
      <c r="I24" s="348"/>
      <c r="J24" s="297" t="b">
        <f>IF(E24="A",'HS - Lane and Step Schedule'!B$7,IF(E24="B",'HS - Lane and Step Schedule'!D$7,IF(E24="C",'HS - Lane and Step Schedule'!F$7,IF(E24="D",'HS - Lane and Step Schedule'!H$7,IF(E24="E",'HS - Lane and Step Schedule'!J$7,IF(E24="F",'HS - Lane and Step Schedule'!L$7,IF(E24="G",'HS - Lane and Step Schedule'!N$7,IF(E24="H",'HS - Lane and Step Schedule'!P$7,IF(E24="I",'HS - Lane and Step Schedule'!R$7,IF(E24="J",'HS - Lane and Step Schedule'!T$7))))))))))</f>
        <v>0</v>
      </c>
      <c r="K24" s="307">
        <f t="shared" si="1"/>
        <v>0</v>
      </c>
      <c r="L24" s="297" t="b">
        <f>IF(E24="A",'HS - Lane and Step Schedule'!B$16,IF(E24="B",'HS - Lane and Step Schedule'!D$16,IF(E24="C",'HS - Lane and Step Schedule'!F$16,IF(E24="D",'HS - Lane and Step Schedule'!H$16,IF(E24="E",'HS - Lane and Step Schedule'!J$16,IF(E24="F",'HS - Lane and Step Schedule'!L$16,IF(E24="G",'HS - Lane and Step Schedule'!N$16,IF(E24="H",'HS - Lane and Step Schedule'!P$16,IF(E24="I",'HS - Lane and Step Schedule'!R$16,IF(E24="J",'HS - Lane and Step Schedule'!T$16))))))))))</f>
        <v>0</v>
      </c>
      <c r="M24" s="307">
        <f t="shared" si="2"/>
        <v>0</v>
      </c>
      <c r="N24" s="297" t="b">
        <f>IF(E24="A",'HS - Lane and Step Schedule'!B$25,IF(E24="B",'HS - Lane and Step Schedule'!D$25,IF(E24="C",'HS - Lane and Step Schedule'!F$25,IF(E24="D",'HS - Lane and Step Schedule'!H$25,IF(E24="E",'HS - Lane and Step Schedule'!J$25,IF(E24="F",'HS - Lane and Step Schedule'!L$25,IF(E24="G",'HS - Lane and Step Schedule'!N$25,IF(E24="H",'HS - Lane and Step Schedule'!P$25,IF(E24="I",'HS - Lane and Step Schedule'!R$25,IF(E24="J",'HS - Lane and Step Schedule'!T$25))))))))))</f>
        <v>0</v>
      </c>
      <c r="O24" s="307">
        <f t="shared" si="3"/>
        <v>0</v>
      </c>
      <c r="P24" s="319">
        <v>0</v>
      </c>
      <c r="Q24" s="296">
        <v>0</v>
      </c>
      <c r="R24" s="298">
        <f t="shared" si="4"/>
        <v>0</v>
      </c>
      <c r="S24" s="298">
        <f>+R24+R25</f>
        <v>0</v>
      </c>
      <c r="T24" s="298">
        <f>+S24*0.3134</f>
        <v>0</v>
      </c>
      <c r="U24" s="298">
        <f>+S24+T24</f>
        <v>0</v>
      </c>
      <c r="V24" s="302"/>
      <c r="X24" s="252" t="str">
        <f t="shared" ref="X24" si="32">+A24</f>
        <v>Color Guard</v>
      </c>
      <c r="Y24" s="252" t="str">
        <f t="shared" si="6"/>
        <v>Head Advisor</v>
      </c>
      <c r="Z24" s="323">
        <f t="shared" si="7"/>
        <v>0</v>
      </c>
      <c r="AA24" s="323">
        <f t="shared" si="8"/>
        <v>0</v>
      </c>
    </row>
    <row r="25" spans="1:27" s="2" customFormat="1" ht="19.95" customHeight="1" thickBot="1" x14ac:dyDescent="0.35">
      <c r="A25" s="408"/>
      <c r="B25" s="413"/>
      <c r="C25" s="367" t="s">
        <v>59</v>
      </c>
      <c r="D25" s="304">
        <f t="shared" si="0"/>
        <v>2</v>
      </c>
      <c r="E25" s="317" t="s">
        <v>5</v>
      </c>
      <c r="F25" s="368"/>
      <c r="G25" s="402"/>
      <c r="H25" s="404"/>
      <c r="I25" s="348"/>
      <c r="J25" s="303">
        <f>IF(E25="A",'HS - Lane and Step Schedule'!B$7,IF(E25="B",'HS - Lane and Step Schedule'!D$7,IF(E25="C",'HS - Lane and Step Schedule'!F$7,IF(E25="D",'HS - Lane and Step Schedule'!H$7,IF(E25="E",'HS - Lane and Step Schedule'!J$7,IF(E25="F",'HS - Lane and Step Schedule'!L$7,IF(E25="G",'HS - Lane and Step Schedule'!N$7,IF(E25="H",'HS - Lane and Step Schedule'!P$7,IF(E25="I",'HS - Lane and Step Schedule'!R$7,IF(E25="J",'HS - Lane and Step Schedule'!T$7))))))))))</f>
        <v>6.6688999999999998E-2</v>
      </c>
      <c r="K25" s="308">
        <f t="shared" si="1"/>
        <v>2636.5542832299998</v>
      </c>
      <c r="L25" s="303">
        <f>IF(E25="A",'HS - Lane and Step Schedule'!B$16,IF(E25="B",'HS - Lane and Step Schedule'!D$16,IF(E25="C",'HS - Lane and Step Schedule'!F$16,IF(E25="D",'HS - Lane and Step Schedule'!H$16,IF(E25="E",'HS - Lane and Step Schedule'!J$16,IF(E25="F",'HS - Lane and Step Schedule'!L$16,IF(E25="G",'HS - Lane and Step Schedule'!N$16,IF(E25="H",'HS - Lane and Step Schedule'!P$16,IF(E25="I",'HS - Lane and Step Schedule'!R$16,IF(E25="J",'HS - Lane and Step Schedule'!T$16))))))))))</f>
        <v>7.7200853624999996E-2</v>
      </c>
      <c r="M25" s="308">
        <f t="shared" si="2"/>
        <v>3052.1411521241284</v>
      </c>
      <c r="N25" s="303">
        <f>IF(E25="A",'HS - Lane and Step Schedule'!B$25,IF(E25="B",'HS - Lane and Step Schedule'!D$25,IF(E25="C",'HS - Lane and Step Schedule'!F$25,IF(E25="D",'HS - Lane and Step Schedule'!H$25,IF(E25="E",'HS - Lane and Step Schedule'!J$25,IF(E25="F",'HS - Lane and Step Schedule'!L$25,IF(E25="G",'HS - Lane and Step Schedule'!N$25,IF(E25="H",'HS - Lane and Step Schedule'!P$25,IF(E25="I",'HS - Lane and Step Schedule'!R$25,IF(E25="J",'HS - Lane and Step Schedule'!T$25))))))))))</f>
        <v>7.9540116690691137E-2</v>
      </c>
      <c r="O25" s="308">
        <f t="shared" si="3"/>
        <v>3144.6240811746425</v>
      </c>
      <c r="P25" s="320">
        <v>2</v>
      </c>
      <c r="Q25" s="305">
        <v>0</v>
      </c>
      <c r="R25" s="309">
        <f t="shared" si="4"/>
        <v>0</v>
      </c>
      <c r="S25" s="309"/>
      <c r="T25" s="310"/>
      <c r="U25" s="310"/>
      <c r="V25" s="306"/>
      <c r="X25" s="252" t="str">
        <f t="shared" ref="X25" si="33">+A24</f>
        <v>Color Guard</v>
      </c>
      <c r="Y25" s="252" t="str">
        <f t="shared" si="6"/>
        <v>Assistant Advisor</v>
      </c>
      <c r="Z25" s="323">
        <f t="shared" si="7"/>
        <v>2636.5542832299998</v>
      </c>
      <c r="AA25" s="323">
        <f t="shared" si="8"/>
        <v>3144.6240811746425</v>
      </c>
    </row>
    <row r="26" spans="1:27" s="2" customFormat="1" ht="19.95" customHeight="1" x14ac:dyDescent="0.3">
      <c r="A26" s="407" t="s">
        <v>16</v>
      </c>
      <c r="B26" s="409">
        <f>+S26</f>
        <v>3675</v>
      </c>
      <c r="C26" s="365" t="s">
        <v>57</v>
      </c>
      <c r="D26" s="313">
        <f t="shared" si="0"/>
        <v>1</v>
      </c>
      <c r="E26" s="316" t="s">
        <v>10</v>
      </c>
      <c r="F26" s="366"/>
      <c r="G26" s="401" t="s">
        <v>122</v>
      </c>
      <c r="H26" s="403" t="s">
        <v>259</v>
      </c>
      <c r="I26" s="348"/>
      <c r="J26" s="297">
        <f>IF(E26="A",'HS - Lane and Step Schedule'!B$7,IF(E26="B",'HS - Lane and Step Schedule'!D$7,IF(E26="C",'HS - Lane and Step Schedule'!F$7,IF(E26="D",'HS - Lane and Step Schedule'!H$7,IF(E26="E",'HS - Lane and Step Schedule'!J$7,IF(E26="F",'HS - Lane and Step Schedule'!L$7,IF(E26="G",'HS - Lane and Step Schedule'!N$7,IF(E26="H",'HS - Lane and Step Schedule'!P$7,IF(E26="I",'HS - Lane and Step Schedule'!R$7,IF(E26="J",'HS - Lane and Step Schedule'!T$7))))))))))</f>
        <v>5.4440000000000002E-2</v>
      </c>
      <c r="K26" s="307">
        <f t="shared" si="1"/>
        <v>2152.2892108000001</v>
      </c>
      <c r="L26" s="297">
        <f>IF(E26="A",'HS - Lane and Step Schedule'!B$16,IF(E26="B",'HS - Lane and Step Schedule'!D$16,IF(E26="C",'HS - Lane and Step Schedule'!F$16,IF(E26="D",'HS - Lane and Step Schedule'!H$16,IF(E26="E",'HS - Lane and Step Schedule'!J$16,IF(E26="F",'HS - Lane and Step Schedule'!L$16,IF(E26="G",'HS - Lane and Step Schedule'!N$16,IF(E26="H",'HS - Lane and Step Schedule'!P$16,IF(E26="I",'HS - Lane and Step Schedule'!R$16,IF(E26="J",'HS - Lane and Step Schedule'!T$16))))))))))</f>
        <v>6.3021105000000008E-2</v>
      </c>
      <c r="M26" s="307">
        <f t="shared" si="2"/>
        <v>2491.5437976523503</v>
      </c>
      <c r="N26" s="297">
        <f>IF(E26="A",'HS - Lane and Step Schedule'!B$25,IF(E26="B",'HS - Lane and Step Schedule'!D$25,IF(E26="C",'HS - Lane and Step Schedule'!F$25,IF(E26="D",'HS - Lane and Step Schedule'!H$25,IF(E26="E",'HS - Lane and Step Schedule'!J$25,IF(E26="F",'HS - Lane and Step Schedule'!L$25,IF(E26="G",'HS - Lane and Step Schedule'!N$25,IF(E26="H",'HS - Lane and Step Schedule'!P$25,IF(E26="I",'HS - Lane and Step Schedule'!R$25,IF(E26="J",'HS - Lane and Step Schedule'!T$25))))))))))</f>
        <v>6.4930707502605017E-2</v>
      </c>
      <c r="O26" s="307">
        <f t="shared" si="3"/>
        <v>2567.0400662650145</v>
      </c>
      <c r="P26" s="319">
        <v>1</v>
      </c>
      <c r="Q26" s="296">
        <v>1</v>
      </c>
      <c r="R26" s="298">
        <f t="shared" si="4"/>
        <v>2492</v>
      </c>
      <c r="S26" s="298">
        <f>+R26+R27</f>
        <v>3675</v>
      </c>
      <c r="T26" s="298">
        <f>+S26*0.3134</f>
        <v>1151.7450000000001</v>
      </c>
      <c r="U26" s="298">
        <f>+S26+T26</f>
        <v>4826.7449999999999</v>
      </c>
      <c r="V26" s="302"/>
      <c r="X26" s="252" t="str">
        <f t="shared" ref="X26" si="34">+A26</f>
        <v>Cross Country - Boys</v>
      </c>
      <c r="Y26" s="252" t="str">
        <f t="shared" si="6"/>
        <v>Head Coach</v>
      </c>
      <c r="Z26" s="323">
        <f t="shared" si="7"/>
        <v>2152.2892108000001</v>
      </c>
      <c r="AA26" s="323">
        <f t="shared" si="8"/>
        <v>2567.0400662650145</v>
      </c>
    </row>
    <row r="27" spans="1:27" s="2" customFormat="1" ht="19.95" customHeight="1" thickBot="1" x14ac:dyDescent="0.35">
      <c r="A27" s="408"/>
      <c r="B27" s="413"/>
      <c r="C27" s="367" t="s">
        <v>56</v>
      </c>
      <c r="D27" s="304">
        <f t="shared" si="0"/>
        <v>2</v>
      </c>
      <c r="E27" s="317" t="s">
        <v>78</v>
      </c>
      <c r="F27" s="368"/>
      <c r="G27" s="402"/>
      <c r="H27" s="404"/>
      <c r="I27" s="348"/>
      <c r="J27" s="303">
        <f>IF(E27="A",'HS - Lane and Step Schedule'!B$7,IF(E27="B",'HS - Lane and Step Schedule'!D$7,IF(E27="C",'HS - Lane and Step Schedule'!F$7,IF(E27="D",'HS - Lane and Step Schedule'!H$7,IF(E27="E",'HS - Lane and Step Schedule'!J$7,IF(E27="F",'HS - Lane and Step Schedule'!L$7,IF(E27="G",'HS - Lane and Step Schedule'!N$7,IF(E27="H",'HS - Lane and Step Schedule'!P$7,IF(E27="I",'HS - Lane and Step Schedule'!R$7,IF(E27="J",'HS - Lane and Step Schedule'!T$7))))))))))</f>
        <v>2.5859E-2</v>
      </c>
      <c r="K27" s="308">
        <f t="shared" si="1"/>
        <v>1022.3373751299999</v>
      </c>
      <c r="L27" s="303">
        <f>IF(E27="A",'HS - Lane and Step Schedule'!B$16,IF(E27="B",'HS - Lane and Step Schedule'!D$16,IF(E27="C",'HS - Lane and Step Schedule'!F$16,IF(E27="D",'HS - Lane and Step Schedule'!H$16,IF(E27="E",'HS - Lane and Step Schedule'!J$16,IF(E27="F",'HS - Lane and Step Schedule'!L$16,IF(E27="G",'HS - Lane and Step Schedule'!N$16,IF(E27="H",'HS - Lane and Step Schedule'!P$16,IF(E27="I",'HS - Lane and Step Schedule'!R$16,IF(E27="J",'HS - Lane and Step Schedule'!T$16))))))))))</f>
        <v>2.9935024875000004E-2</v>
      </c>
      <c r="M27" s="308">
        <f t="shared" si="2"/>
        <v>1183.4833038848665</v>
      </c>
      <c r="N27" s="303">
        <f>IF(E27="A",'HS - Lane and Step Schedule'!B$25,IF(E27="B",'HS - Lane and Step Schedule'!D$25,IF(E27="C",'HS - Lane and Step Schedule'!F$25,IF(E27="D",'HS - Lane and Step Schedule'!H$25,IF(E27="E",'HS - Lane and Step Schedule'!J$25,IF(E27="F",'HS - Lane and Step Schedule'!L$25,IF(E27="G",'HS - Lane and Step Schedule'!N$25,IF(E27="H",'HS - Lane and Step Schedule'!P$25,IF(E27="I",'HS - Lane and Step Schedule'!R$25,IF(E27="J",'HS - Lane and Step Schedule'!T$25))))))))))</f>
        <v>3.0842086063737378E-2</v>
      </c>
      <c r="O27" s="308">
        <f t="shared" si="3"/>
        <v>1219.3440314758816</v>
      </c>
      <c r="P27" s="320">
        <v>2</v>
      </c>
      <c r="Q27" s="305">
        <v>1</v>
      </c>
      <c r="R27" s="309">
        <f t="shared" si="4"/>
        <v>1183</v>
      </c>
      <c r="S27" s="309"/>
      <c r="T27" s="310"/>
      <c r="U27" s="310"/>
      <c r="V27" s="306"/>
      <c r="X27" s="252" t="str">
        <f t="shared" ref="X27" si="35">+A26</f>
        <v>Cross Country - Boys</v>
      </c>
      <c r="Y27" s="252" t="str">
        <f t="shared" si="6"/>
        <v>Assistant Coach</v>
      </c>
      <c r="Z27" s="323">
        <f t="shared" si="7"/>
        <v>1022.3373751299999</v>
      </c>
      <c r="AA27" s="323">
        <f t="shared" si="8"/>
        <v>1219.3440314758816</v>
      </c>
    </row>
    <row r="28" spans="1:27" s="2" customFormat="1" ht="19.95" customHeight="1" x14ac:dyDescent="0.3">
      <c r="A28" s="407" t="s">
        <v>17</v>
      </c>
      <c r="B28" s="409">
        <f>+S28</f>
        <v>3675</v>
      </c>
      <c r="C28" s="365" t="s">
        <v>57</v>
      </c>
      <c r="D28" s="313">
        <f t="shared" si="0"/>
        <v>1</v>
      </c>
      <c r="E28" s="316" t="s">
        <v>10</v>
      </c>
      <c r="F28" s="366"/>
      <c r="G28" s="401" t="s">
        <v>122</v>
      </c>
      <c r="H28" s="403" t="s">
        <v>259</v>
      </c>
      <c r="I28" s="348"/>
      <c r="J28" s="297">
        <f>IF(E28="A",'HS - Lane and Step Schedule'!B$7,IF(E28="B",'HS - Lane and Step Schedule'!D$7,IF(E28="C",'HS - Lane and Step Schedule'!F$7,IF(E28="D",'HS - Lane and Step Schedule'!H$7,IF(E28="E",'HS - Lane and Step Schedule'!J$7,IF(E28="F",'HS - Lane and Step Schedule'!L$7,IF(E28="G",'HS - Lane and Step Schedule'!N$7,IF(E28="H",'HS - Lane and Step Schedule'!P$7,IF(E28="I",'HS - Lane and Step Schedule'!R$7,IF(E28="J",'HS - Lane and Step Schedule'!T$7))))))))))</f>
        <v>5.4440000000000002E-2</v>
      </c>
      <c r="K28" s="307">
        <f t="shared" si="1"/>
        <v>2152.2892108000001</v>
      </c>
      <c r="L28" s="297">
        <f>IF(E28="A",'HS - Lane and Step Schedule'!B$16,IF(E28="B",'HS - Lane and Step Schedule'!D$16,IF(E28="C",'HS - Lane and Step Schedule'!F$16,IF(E28="D",'HS - Lane and Step Schedule'!H$16,IF(E28="E",'HS - Lane and Step Schedule'!J$16,IF(E28="F",'HS - Lane and Step Schedule'!L$16,IF(E28="G",'HS - Lane and Step Schedule'!N$16,IF(E28="H",'HS - Lane and Step Schedule'!P$16,IF(E28="I",'HS - Lane and Step Schedule'!R$16,IF(E28="J",'HS - Lane and Step Schedule'!T$16))))))))))</f>
        <v>6.3021105000000008E-2</v>
      </c>
      <c r="M28" s="307">
        <f t="shared" si="2"/>
        <v>2491.5437976523503</v>
      </c>
      <c r="N28" s="297">
        <f>IF(E28="A",'HS - Lane and Step Schedule'!B$25,IF(E28="B",'HS - Lane and Step Schedule'!D$25,IF(E28="C",'HS - Lane and Step Schedule'!F$25,IF(E28="D",'HS - Lane and Step Schedule'!H$25,IF(E28="E",'HS - Lane and Step Schedule'!J$25,IF(E28="F",'HS - Lane and Step Schedule'!L$25,IF(E28="G",'HS - Lane and Step Schedule'!N$25,IF(E28="H",'HS - Lane and Step Schedule'!P$25,IF(E28="I",'HS - Lane and Step Schedule'!R$25,IF(E28="J",'HS - Lane and Step Schedule'!T$25))))))))))</f>
        <v>6.4930707502605017E-2</v>
      </c>
      <c r="O28" s="307">
        <f t="shared" si="3"/>
        <v>2567.0400662650145</v>
      </c>
      <c r="P28" s="319">
        <v>1</v>
      </c>
      <c r="Q28" s="296">
        <v>1</v>
      </c>
      <c r="R28" s="298">
        <f t="shared" si="4"/>
        <v>2492</v>
      </c>
      <c r="S28" s="298">
        <f>+R28+R29</f>
        <v>3675</v>
      </c>
      <c r="T28" s="298">
        <f>+S28*0.3134</f>
        <v>1151.7450000000001</v>
      </c>
      <c r="U28" s="298">
        <f>+S28+T28</f>
        <v>4826.7449999999999</v>
      </c>
      <c r="V28" s="302"/>
      <c r="X28" s="252" t="str">
        <f t="shared" ref="X28" si="36">+A28</f>
        <v>Cross Country - Girls</v>
      </c>
      <c r="Y28" s="252" t="str">
        <f t="shared" si="6"/>
        <v>Head Coach</v>
      </c>
      <c r="Z28" s="323">
        <f t="shared" si="7"/>
        <v>2152.2892108000001</v>
      </c>
      <c r="AA28" s="323">
        <f t="shared" si="8"/>
        <v>2567.0400662650145</v>
      </c>
    </row>
    <row r="29" spans="1:27" s="2" customFormat="1" ht="19.95" customHeight="1" thickBot="1" x14ac:dyDescent="0.35">
      <c r="A29" s="414"/>
      <c r="B29" s="410"/>
      <c r="C29" s="370" t="s">
        <v>56</v>
      </c>
      <c r="D29" s="304">
        <f t="shared" si="0"/>
        <v>2</v>
      </c>
      <c r="E29" s="318" t="s">
        <v>78</v>
      </c>
      <c r="F29" s="368"/>
      <c r="G29" s="402"/>
      <c r="H29" s="404"/>
      <c r="I29" s="348"/>
      <c r="J29" s="303">
        <f>IF(E29="A",'HS - Lane and Step Schedule'!B$7,IF(E29="B",'HS - Lane and Step Schedule'!D$7,IF(E29="C",'HS - Lane and Step Schedule'!F$7,IF(E29="D",'HS - Lane and Step Schedule'!H$7,IF(E29="E",'HS - Lane and Step Schedule'!J$7,IF(E29="F",'HS - Lane and Step Schedule'!L$7,IF(E29="G",'HS - Lane and Step Schedule'!N$7,IF(E29="H",'HS - Lane and Step Schedule'!P$7,IF(E29="I",'HS - Lane and Step Schedule'!R$7,IF(E29="J",'HS - Lane and Step Schedule'!T$7))))))))))</f>
        <v>2.5859E-2</v>
      </c>
      <c r="K29" s="308">
        <f t="shared" si="1"/>
        <v>1022.3373751299999</v>
      </c>
      <c r="L29" s="303">
        <f>IF(E29="A",'HS - Lane and Step Schedule'!B$16,IF(E29="B",'HS - Lane and Step Schedule'!D$16,IF(E29="C",'HS - Lane and Step Schedule'!F$16,IF(E29="D",'HS - Lane and Step Schedule'!H$16,IF(E29="E",'HS - Lane and Step Schedule'!J$16,IF(E29="F",'HS - Lane and Step Schedule'!L$16,IF(E29="G",'HS - Lane and Step Schedule'!N$16,IF(E29="H",'HS - Lane and Step Schedule'!P$16,IF(E29="I",'HS - Lane and Step Schedule'!R$16,IF(E29="J",'HS - Lane and Step Schedule'!T$16))))))))))</f>
        <v>2.9935024875000004E-2</v>
      </c>
      <c r="M29" s="308">
        <f t="shared" si="2"/>
        <v>1183.4833038848665</v>
      </c>
      <c r="N29" s="303">
        <f>IF(E29="A",'HS - Lane and Step Schedule'!B$25,IF(E29="B",'HS - Lane and Step Schedule'!D$25,IF(E29="C",'HS - Lane and Step Schedule'!F$25,IF(E29="D",'HS - Lane and Step Schedule'!H$25,IF(E29="E",'HS - Lane and Step Schedule'!J$25,IF(E29="F",'HS - Lane and Step Schedule'!L$25,IF(E29="G",'HS - Lane and Step Schedule'!N$25,IF(E29="H",'HS - Lane and Step Schedule'!P$25,IF(E29="I",'HS - Lane and Step Schedule'!R$25,IF(E29="J",'HS - Lane and Step Schedule'!T$25))))))))))</f>
        <v>3.0842086063737378E-2</v>
      </c>
      <c r="O29" s="308">
        <f t="shared" si="3"/>
        <v>1219.3440314758816</v>
      </c>
      <c r="P29" s="320">
        <v>2</v>
      </c>
      <c r="Q29" s="305">
        <v>1</v>
      </c>
      <c r="R29" s="309">
        <f t="shared" si="4"/>
        <v>1183</v>
      </c>
      <c r="S29" s="309"/>
      <c r="T29" s="310"/>
      <c r="U29" s="310"/>
      <c r="V29" s="306"/>
      <c r="X29" s="252" t="str">
        <f t="shared" ref="X29" si="37">+A28</f>
        <v>Cross Country - Girls</v>
      </c>
      <c r="Y29" s="252" t="str">
        <f t="shared" si="6"/>
        <v>Assistant Coach</v>
      </c>
      <c r="Z29" s="323">
        <f t="shared" si="7"/>
        <v>1022.3373751299999</v>
      </c>
      <c r="AA29" s="323">
        <f t="shared" si="8"/>
        <v>1219.3440314758816</v>
      </c>
    </row>
    <row r="30" spans="1:27" s="2" customFormat="1" ht="19.95" customHeight="1" x14ac:dyDescent="0.3">
      <c r="A30" s="407" t="s">
        <v>28</v>
      </c>
      <c r="B30" s="409">
        <f>+S30</f>
        <v>2492</v>
      </c>
      <c r="C30" s="365" t="s">
        <v>58</v>
      </c>
      <c r="D30" s="313">
        <f t="shared" si="0"/>
        <v>1</v>
      </c>
      <c r="E30" s="316" t="s">
        <v>10</v>
      </c>
      <c r="F30" s="366"/>
      <c r="G30" s="401" t="s">
        <v>255</v>
      </c>
      <c r="H30" s="403" t="s">
        <v>256</v>
      </c>
      <c r="I30" s="348"/>
      <c r="J30" s="297">
        <f>IF(E30="A",'HS - Lane and Step Schedule'!B$7,IF(E30="B",'HS - Lane and Step Schedule'!D$7,IF(E30="C",'HS - Lane and Step Schedule'!F$7,IF(E30="D",'HS - Lane and Step Schedule'!H$7,IF(E30="E",'HS - Lane and Step Schedule'!J$7,IF(E30="F",'HS - Lane and Step Schedule'!L$7,IF(E30="G",'HS - Lane and Step Schedule'!N$7,IF(E30="H",'HS - Lane and Step Schedule'!P$7,IF(E30="I",'HS - Lane and Step Schedule'!R$7,IF(E30="J",'HS - Lane and Step Schedule'!T$7))))))))))</f>
        <v>5.4440000000000002E-2</v>
      </c>
      <c r="K30" s="307">
        <f t="shared" si="1"/>
        <v>2152.2892108000001</v>
      </c>
      <c r="L30" s="297">
        <f>IF(E30="A",'HS - Lane and Step Schedule'!B$16,IF(E30="B",'HS - Lane and Step Schedule'!D$16,IF(E30="C",'HS - Lane and Step Schedule'!F$16,IF(E30="D",'HS - Lane and Step Schedule'!H$16,IF(E30="E",'HS - Lane and Step Schedule'!J$16,IF(E30="F",'HS - Lane and Step Schedule'!L$16,IF(E30="G",'HS - Lane and Step Schedule'!N$16,IF(E30="H",'HS - Lane and Step Schedule'!P$16,IF(E30="I",'HS - Lane and Step Schedule'!R$16,IF(E30="J",'HS - Lane and Step Schedule'!T$16))))))))))</f>
        <v>6.3021105000000008E-2</v>
      </c>
      <c r="M30" s="307">
        <f t="shared" si="2"/>
        <v>2491.5437976523503</v>
      </c>
      <c r="N30" s="297">
        <f>IF(E30="A",'HS - Lane and Step Schedule'!B$25,IF(E30="B",'HS - Lane and Step Schedule'!D$25,IF(E30="C",'HS - Lane and Step Schedule'!F$25,IF(E30="D",'HS - Lane and Step Schedule'!H$25,IF(E30="E",'HS - Lane and Step Schedule'!J$25,IF(E30="F",'HS - Lane and Step Schedule'!L$25,IF(E30="G",'HS - Lane and Step Schedule'!N$25,IF(E30="H",'HS - Lane and Step Schedule'!P$25,IF(E30="I",'HS - Lane and Step Schedule'!R$25,IF(E30="J",'HS - Lane and Step Schedule'!T$25))))))))))</f>
        <v>6.4930707502605017E-2</v>
      </c>
      <c r="O30" s="307">
        <f t="shared" si="3"/>
        <v>2567.0400662650145</v>
      </c>
      <c r="P30" s="319">
        <v>1</v>
      </c>
      <c r="Q30" s="296">
        <v>1</v>
      </c>
      <c r="R30" s="298">
        <f t="shared" si="4"/>
        <v>2492</v>
      </c>
      <c r="S30" s="298">
        <f>+R30+R31</f>
        <v>2492</v>
      </c>
      <c r="T30" s="298">
        <f>+S30*0.3134</f>
        <v>780.99279999999999</v>
      </c>
      <c r="U30" s="298">
        <f>+S30+T30</f>
        <v>3272.9928</v>
      </c>
      <c r="V30" s="302"/>
      <c r="X30" s="252" t="str">
        <f t="shared" ref="X30" si="38">+A30</f>
        <v>Dance Company</v>
      </c>
      <c r="Y30" s="252" t="str">
        <f t="shared" si="6"/>
        <v>Head Advisor</v>
      </c>
      <c r="Z30" s="323">
        <f t="shared" si="7"/>
        <v>2152.2892108000001</v>
      </c>
      <c r="AA30" s="323">
        <f t="shared" si="8"/>
        <v>2567.0400662650145</v>
      </c>
    </row>
    <row r="31" spans="1:27" s="2" customFormat="1" ht="19.95" customHeight="1" thickBot="1" x14ac:dyDescent="0.35">
      <c r="A31" s="408"/>
      <c r="B31" s="413"/>
      <c r="C31" s="367" t="s">
        <v>59</v>
      </c>
      <c r="D31" s="304">
        <f t="shared" si="0"/>
        <v>2</v>
      </c>
      <c r="E31" s="317" t="s">
        <v>78</v>
      </c>
      <c r="F31" s="368"/>
      <c r="G31" s="402"/>
      <c r="H31" s="404"/>
      <c r="I31" s="348"/>
      <c r="J31" s="303">
        <f>IF(E31="A",'HS - Lane and Step Schedule'!B$7,IF(E31="B",'HS - Lane and Step Schedule'!D$7,IF(E31="C",'HS - Lane and Step Schedule'!F$7,IF(E31="D",'HS - Lane and Step Schedule'!H$7,IF(E31="E",'HS - Lane and Step Schedule'!J$7,IF(E31="F",'HS - Lane and Step Schedule'!L$7,IF(E31="G",'HS - Lane and Step Schedule'!N$7,IF(E31="H",'HS - Lane and Step Schedule'!P$7,IF(E31="I",'HS - Lane and Step Schedule'!R$7,IF(E31="J",'HS - Lane and Step Schedule'!T$7))))))))))</f>
        <v>2.5859E-2</v>
      </c>
      <c r="K31" s="308">
        <f t="shared" si="1"/>
        <v>1022.3373751299999</v>
      </c>
      <c r="L31" s="303">
        <f>IF(E31="A",'HS - Lane and Step Schedule'!B$16,IF(E31="B",'HS - Lane and Step Schedule'!D$16,IF(E31="C",'HS - Lane and Step Schedule'!F$16,IF(E31="D",'HS - Lane and Step Schedule'!H$16,IF(E31="E",'HS - Lane and Step Schedule'!J$16,IF(E31="F",'HS - Lane and Step Schedule'!L$16,IF(E31="G",'HS - Lane and Step Schedule'!N$16,IF(E31="H",'HS - Lane and Step Schedule'!P$16,IF(E31="I",'HS - Lane and Step Schedule'!R$16,IF(E31="J",'HS - Lane and Step Schedule'!T$16))))))))))</f>
        <v>2.9935024875000004E-2</v>
      </c>
      <c r="M31" s="308">
        <f t="shared" si="2"/>
        <v>1183.4833038848665</v>
      </c>
      <c r="N31" s="303">
        <f>IF(E31="A",'HS - Lane and Step Schedule'!B$25,IF(E31="B",'HS - Lane and Step Schedule'!D$25,IF(E31="C",'HS - Lane and Step Schedule'!F$25,IF(E31="D",'HS - Lane and Step Schedule'!H$25,IF(E31="E",'HS - Lane and Step Schedule'!J$25,IF(E31="F",'HS - Lane and Step Schedule'!L$25,IF(E31="G",'HS - Lane and Step Schedule'!N$25,IF(E31="H",'HS - Lane and Step Schedule'!P$25,IF(E31="I",'HS - Lane and Step Schedule'!R$25,IF(E31="J",'HS - Lane and Step Schedule'!T$25))))))))))</f>
        <v>3.0842086063737378E-2</v>
      </c>
      <c r="O31" s="308">
        <f t="shared" si="3"/>
        <v>1219.3440314758816</v>
      </c>
      <c r="P31" s="320">
        <v>2</v>
      </c>
      <c r="Q31" s="305">
        <v>0</v>
      </c>
      <c r="R31" s="309">
        <f t="shared" si="4"/>
        <v>0</v>
      </c>
      <c r="S31" s="309"/>
      <c r="T31" s="310"/>
      <c r="U31" s="310"/>
      <c r="V31" s="306"/>
      <c r="X31" s="252" t="str">
        <f t="shared" ref="X31" si="39">+A30</f>
        <v>Dance Company</v>
      </c>
      <c r="Y31" s="252" t="str">
        <f t="shared" si="6"/>
        <v>Assistant Advisor</v>
      </c>
      <c r="Z31" s="323">
        <f t="shared" si="7"/>
        <v>1022.3373751299999</v>
      </c>
      <c r="AA31" s="323">
        <f t="shared" si="8"/>
        <v>1219.3440314758816</v>
      </c>
    </row>
    <row r="32" spans="1:27" s="2" customFormat="1" ht="19.95" customHeight="1" x14ac:dyDescent="0.3">
      <c r="A32" s="407" t="s">
        <v>33</v>
      </c>
      <c r="B32" s="409">
        <f>+S32</f>
        <v>5045</v>
      </c>
      <c r="C32" s="365" t="s">
        <v>58</v>
      </c>
      <c r="D32" s="313">
        <f t="shared" si="0"/>
        <v>1</v>
      </c>
      <c r="E32" s="316" t="s">
        <v>4</v>
      </c>
      <c r="F32" s="366"/>
      <c r="G32" s="401" t="s">
        <v>255</v>
      </c>
      <c r="H32" s="403" t="s">
        <v>256</v>
      </c>
      <c r="I32" s="348"/>
      <c r="J32" s="297">
        <f>IF(E32="A",'HS - Lane and Step Schedule'!B$7,IF(E32="B",'HS - Lane and Step Schedule'!D$7,IF(E32="C",'HS - Lane and Step Schedule'!F$7,IF(E32="D",'HS - Lane and Step Schedule'!H$7,IF(E32="E",'HS - Lane and Step Schedule'!J$7,IF(E32="F",'HS - Lane and Step Schedule'!L$7,IF(E32="G",'HS - Lane and Step Schedule'!N$7,IF(E32="H",'HS - Lane and Step Schedule'!P$7,IF(E32="I",'HS - Lane and Step Schedule'!R$7,IF(E32="J",'HS - Lane and Step Schedule'!T$7))))))))))</f>
        <v>0.11024100000000001</v>
      </c>
      <c r="K32" s="307">
        <f t="shared" si="1"/>
        <v>4358.3856518700004</v>
      </c>
      <c r="L32" s="297">
        <f>IF(E32="A",'HS - Lane and Step Schedule'!B$16,IF(E32="B",'HS - Lane and Step Schedule'!D$16,IF(E32="C",'HS - Lane and Step Schedule'!F$16,IF(E32="D",'HS - Lane and Step Schedule'!H$16,IF(E32="E",'HS - Lane and Step Schedule'!J$16,IF(E32="F",'HS - Lane and Step Schedule'!L$16,IF(E32="G",'HS - Lane and Step Schedule'!N$16,IF(E32="H",'HS - Lane and Step Schedule'!P$16,IF(E32="I",'HS - Lane and Step Schedule'!R$16,IF(E32="J",'HS - Lane and Step Schedule'!T$16))))))))))</f>
        <v>0.12761773762500003</v>
      </c>
      <c r="M32" s="307">
        <f t="shared" si="2"/>
        <v>5045.3761902460101</v>
      </c>
      <c r="N32" s="297">
        <f>IF(E32="A",'HS - Lane and Step Schedule'!B$25,IF(E32="B",'HS - Lane and Step Schedule'!D$25,IF(E32="C",'HS - Lane and Step Schedule'!F$25,IF(E32="D",'HS - Lane and Step Schedule'!H$25,IF(E32="E",'HS - Lane and Step Schedule'!J$25,IF(E32="F",'HS - Lane and Step Schedule'!L$25,IF(E32="G",'HS - Lane and Step Schedule'!N$25,IF(E32="H",'HS - Lane and Step Schedule'!P$25,IF(E32="I",'HS - Lane and Step Schedule'!R$25,IF(E32="J",'HS - Lane and Step Schedule'!T$25))))))))))</f>
        <v>0.13148468269277513</v>
      </c>
      <c r="O32" s="307">
        <f t="shared" si="3"/>
        <v>5198.2561341866531</v>
      </c>
      <c r="P32" s="319">
        <v>1</v>
      </c>
      <c r="Q32" s="296">
        <v>1</v>
      </c>
      <c r="R32" s="298">
        <f t="shared" si="4"/>
        <v>5045</v>
      </c>
      <c r="S32" s="298">
        <f>+R32+R33</f>
        <v>5045</v>
      </c>
      <c r="T32" s="298">
        <f>+S32*0.3134</f>
        <v>1581.1030000000001</v>
      </c>
      <c r="U32" s="298">
        <f>+S32+T32</f>
        <v>6626.1030000000001</v>
      </c>
      <c r="V32" s="302"/>
      <c r="X32" s="252" t="str">
        <f t="shared" ref="X32" si="40">+A32</f>
        <v>Debate</v>
      </c>
      <c r="Y32" s="252" t="str">
        <f t="shared" si="6"/>
        <v>Head Advisor</v>
      </c>
      <c r="Z32" s="323">
        <f t="shared" si="7"/>
        <v>4358.3856518700004</v>
      </c>
      <c r="AA32" s="323">
        <f t="shared" si="8"/>
        <v>5198.2561341866531</v>
      </c>
    </row>
    <row r="33" spans="1:27" s="2" customFormat="1" ht="19.95" customHeight="1" thickBot="1" x14ac:dyDescent="0.35">
      <c r="A33" s="408"/>
      <c r="B33" s="413"/>
      <c r="C33" s="367" t="s">
        <v>59</v>
      </c>
      <c r="D33" s="304">
        <f t="shared" si="0"/>
        <v>1</v>
      </c>
      <c r="E33" s="317" t="s">
        <v>5</v>
      </c>
      <c r="F33" s="368"/>
      <c r="G33" s="402"/>
      <c r="H33" s="404"/>
      <c r="I33" s="348"/>
      <c r="J33" s="303">
        <f>IF(E33="A",'HS - Lane and Step Schedule'!B$7,IF(E33="B",'HS - Lane and Step Schedule'!D$7,IF(E33="C",'HS - Lane and Step Schedule'!F$7,IF(E33="D",'HS - Lane and Step Schedule'!H$7,IF(E33="E",'HS - Lane and Step Schedule'!J$7,IF(E33="F",'HS - Lane and Step Schedule'!L$7,IF(E33="G",'HS - Lane and Step Schedule'!N$7,IF(E33="H",'HS - Lane and Step Schedule'!P$7,IF(E33="I",'HS - Lane and Step Schedule'!R$7,IF(E33="J",'HS - Lane and Step Schedule'!T$7))))))))))</f>
        <v>6.6688999999999998E-2</v>
      </c>
      <c r="K33" s="308">
        <f t="shared" si="1"/>
        <v>2636.5542832299998</v>
      </c>
      <c r="L33" s="303">
        <f>IF(E33="A",'HS - Lane and Step Schedule'!B$16,IF(E33="B",'HS - Lane and Step Schedule'!D$16,IF(E33="C",'HS - Lane and Step Schedule'!F$16,IF(E33="D",'HS - Lane and Step Schedule'!H$16,IF(E33="E",'HS - Lane and Step Schedule'!J$16,IF(E33="F",'HS - Lane and Step Schedule'!L$16,IF(E33="G",'HS - Lane and Step Schedule'!N$16,IF(E33="H",'HS - Lane and Step Schedule'!P$16,IF(E33="I",'HS - Lane and Step Schedule'!R$16,IF(E33="J",'HS - Lane and Step Schedule'!T$16))))))))))</f>
        <v>7.7200853624999996E-2</v>
      </c>
      <c r="M33" s="308">
        <f t="shared" si="2"/>
        <v>3052.1411521241284</v>
      </c>
      <c r="N33" s="303">
        <f>IF(E33="A",'HS - Lane and Step Schedule'!B$25,IF(E33="B",'HS - Lane and Step Schedule'!D$25,IF(E33="C",'HS - Lane and Step Schedule'!F$25,IF(E33="D",'HS - Lane and Step Schedule'!H$25,IF(E33="E",'HS - Lane and Step Schedule'!J$25,IF(E33="F",'HS - Lane and Step Schedule'!L$25,IF(E33="G",'HS - Lane and Step Schedule'!N$25,IF(E33="H",'HS - Lane and Step Schedule'!P$25,IF(E33="I",'HS - Lane and Step Schedule'!R$25,IF(E33="J",'HS - Lane and Step Schedule'!T$25))))))))))</f>
        <v>7.9540116690691137E-2</v>
      </c>
      <c r="O33" s="308">
        <f t="shared" si="3"/>
        <v>3144.6240811746425</v>
      </c>
      <c r="P33" s="320">
        <v>1</v>
      </c>
      <c r="Q33" s="305">
        <v>0</v>
      </c>
      <c r="R33" s="309">
        <f t="shared" si="4"/>
        <v>0</v>
      </c>
      <c r="S33" s="309"/>
      <c r="T33" s="310"/>
      <c r="U33" s="310"/>
      <c r="V33" s="306"/>
      <c r="X33" s="252" t="str">
        <f t="shared" ref="X33" si="41">+A32</f>
        <v>Debate</v>
      </c>
      <c r="Y33" s="252" t="str">
        <f t="shared" si="6"/>
        <v>Assistant Advisor</v>
      </c>
      <c r="Z33" s="323">
        <f t="shared" si="7"/>
        <v>2636.5542832299998</v>
      </c>
      <c r="AA33" s="323">
        <f t="shared" si="8"/>
        <v>3144.6240811746425</v>
      </c>
    </row>
    <row r="34" spans="1:27" s="2" customFormat="1" ht="19.95" customHeight="1" x14ac:dyDescent="0.3">
      <c r="A34" s="407" t="s">
        <v>31</v>
      </c>
      <c r="B34" s="409">
        <f>+S34</f>
        <v>8097</v>
      </c>
      <c r="C34" s="365" t="s">
        <v>58</v>
      </c>
      <c r="D34" s="313">
        <f t="shared" si="0"/>
        <v>1</v>
      </c>
      <c r="E34" s="316" t="s">
        <v>4</v>
      </c>
      <c r="F34" s="366"/>
      <c r="G34" s="401" t="s">
        <v>255</v>
      </c>
      <c r="H34" s="403" t="s">
        <v>256</v>
      </c>
      <c r="I34" s="348"/>
      <c r="J34" s="297">
        <f>IF(E34="A",'HS - Lane and Step Schedule'!B$7,IF(E34="B",'HS - Lane and Step Schedule'!D$7,IF(E34="C",'HS - Lane and Step Schedule'!F$7,IF(E34="D",'HS - Lane and Step Schedule'!H$7,IF(E34="E",'HS - Lane and Step Schedule'!J$7,IF(E34="F",'HS - Lane and Step Schedule'!L$7,IF(E34="G",'HS - Lane and Step Schedule'!N$7,IF(E34="H",'HS - Lane and Step Schedule'!P$7,IF(E34="I",'HS - Lane and Step Schedule'!R$7,IF(E34="J",'HS - Lane and Step Schedule'!T$7))))))))))</f>
        <v>0.11024100000000001</v>
      </c>
      <c r="K34" s="307">
        <f t="shared" si="1"/>
        <v>4358.3856518700004</v>
      </c>
      <c r="L34" s="297">
        <f>IF(E34="A",'HS - Lane and Step Schedule'!B$16,IF(E34="B",'HS - Lane and Step Schedule'!D$16,IF(E34="C",'HS - Lane and Step Schedule'!F$16,IF(E34="D",'HS - Lane and Step Schedule'!H$16,IF(E34="E",'HS - Lane and Step Schedule'!J$16,IF(E34="F",'HS - Lane and Step Schedule'!L$16,IF(E34="G",'HS - Lane and Step Schedule'!N$16,IF(E34="H",'HS - Lane and Step Schedule'!P$16,IF(E34="I",'HS - Lane and Step Schedule'!R$16,IF(E34="J",'HS - Lane and Step Schedule'!T$16))))))))))</f>
        <v>0.12761773762500003</v>
      </c>
      <c r="M34" s="307">
        <f t="shared" si="2"/>
        <v>5045.3761902460101</v>
      </c>
      <c r="N34" s="297">
        <f>IF(E34="A",'HS - Lane and Step Schedule'!B$25,IF(E34="B",'HS - Lane and Step Schedule'!D$25,IF(E34="C",'HS - Lane and Step Schedule'!F$25,IF(E34="D",'HS - Lane and Step Schedule'!H$25,IF(E34="E",'HS - Lane and Step Schedule'!J$25,IF(E34="F",'HS - Lane and Step Schedule'!L$25,IF(E34="G",'HS - Lane and Step Schedule'!N$25,IF(E34="H",'HS - Lane and Step Schedule'!P$25,IF(E34="I",'HS - Lane and Step Schedule'!R$25,IF(E34="J",'HS - Lane and Step Schedule'!T$25))))))))))</f>
        <v>0.13148468269277513</v>
      </c>
      <c r="O34" s="307">
        <f t="shared" si="3"/>
        <v>5198.2561341866531</v>
      </c>
      <c r="P34" s="319">
        <v>1</v>
      </c>
      <c r="Q34" s="296">
        <v>1</v>
      </c>
      <c r="R34" s="298">
        <f t="shared" si="4"/>
        <v>5045</v>
      </c>
      <c r="S34" s="298">
        <f>+R34+R35</f>
        <v>8097</v>
      </c>
      <c r="T34" s="298">
        <f>+S34*0.3134</f>
        <v>2537.5998</v>
      </c>
      <c r="U34" s="298">
        <f>+S34+T34</f>
        <v>10634.5998</v>
      </c>
      <c r="V34" s="302"/>
      <c r="X34" s="252" t="str">
        <f t="shared" ref="X34" si="42">+A34</f>
        <v>Drama</v>
      </c>
      <c r="Y34" s="252" t="str">
        <f t="shared" si="6"/>
        <v>Head Advisor</v>
      </c>
      <c r="Z34" s="323">
        <f t="shared" si="7"/>
        <v>4358.3856518700004</v>
      </c>
      <c r="AA34" s="323">
        <f t="shared" si="8"/>
        <v>5198.2561341866531</v>
      </c>
    </row>
    <row r="35" spans="1:27" s="2" customFormat="1" ht="19.95" customHeight="1" thickBot="1" x14ac:dyDescent="0.35">
      <c r="A35" s="408"/>
      <c r="B35" s="413"/>
      <c r="C35" s="367" t="s">
        <v>59</v>
      </c>
      <c r="D35" s="304">
        <f t="shared" si="0"/>
        <v>2</v>
      </c>
      <c r="E35" s="317" t="s">
        <v>5</v>
      </c>
      <c r="F35" s="368"/>
      <c r="G35" s="402"/>
      <c r="H35" s="404"/>
      <c r="I35" s="348"/>
      <c r="J35" s="303">
        <f>IF(E35="A",'HS - Lane and Step Schedule'!B$7,IF(E35="B",'HS - Lane and Step Schedule'!D$7,IF(E35="C",'HS - Lane and Step Schedule'!F$7,IF(E35="D",'HS - Lane and Step Schedule'!H$7,IF(E35="E",'HS - Lane and Step Schedule'!J$7,IF(E35="F",'HS - Lane and Step Schedule'!L$7,IF(E35="G",'HS - Lane and Step Schedule'!N$7,IF(E35="H",'HS - Lane and Step Schedule'!P$7,IF(E35="I",'HS - Lane and Step Schedule'!R$7,IF(E35="J",'HS - Lane and Step Schedule'!T$7))))))))))</f>
        <v>6.6688999999999998E-2</v>
      </c>
      <c r="K35" s="308">
        <f t="shared" si="1"/>
        <v>2636.5542832299998</v>
      </c>
      <c r="L35" s="303">
        <f>IF(E35="A",'HS - Lane and Step Schedule'!B$16,IF(E35="B",'HS - Lane and Step Schedule'!D$16,IF(E35="C",'HS - Lane and Step Schedule'!F$16,IF(E35="D",'HS - Lane and Step Schedule'!H$16,IF(E35="E",'HS - Lane and Step Schedule'!J$16,IF(E35="F",'HS - Lane and Step Schedule'!L$16,IF(E35="G",'HS - Lane and Step Schedule'!N$16,IF(E35="H",'HS - Lane and Step Schedule'!P$16,IF(E35="I",'HS - Lane and Step Schedule'!R$16,IF(E35="J",'HS - Lane and Step Schedule'!T$16))))))))))</f>
        <v>7.7200853624999996E-2</v>
      </c>
      <c r="M35" s="308">
        <f t="shared" si="2"/>
        <v>3052.1411521241284</v>
      </c>
      <c r="N35" s="303">
        <f>IF(E35="A",'HS - Lane and Step Schedule'!B$25,IF(E35="B",'HS - Lane and Step Schedule'!D$25,IF(E35="C",'HS - Lane and Step Schedule'!F$25,IF(E35="D",'HS - Lane and Step Schedule'!H$25,IF(E35="E",'HS - Lane and Step Schedule'!J$25,IF(E35="F",'HS - Lane and Step Schedule'!L$25,IF(E35="G",'HS - Lane and Step Schedule'!N$25,IF(E35="H",'HS - Lane and Step Schedule'!P$25,IF(E35="I",'HS - Lane and Step Schedule'!R$25,IF(E35="J",'HS - Lane and Step Schedule'!T$25))))))))))</f>
        <v>7.9540116690691137E-2</v>
      </c>
      <c r="O35" s="308">
        <f t="shared" si="3"/>
        <v>3144.6240811746425</v>
      </c>
      <c r="P35" s="320">
        <v>2</v>
      </c>
      <c r="Q35" s="305">
        <v>1</v>
      </c>
      <c r="R35" s="309">
        <f t="shared" si="4"/>
        <v>3052</v>
      </c>
      <c r="S35" s="309"/>
      <c r="T35" s="310"/>
      <c r="U35" s="310"/>
      <c r="V35" s="306"/>
      <c r="X35" s="252" t="str">
        <f t="shared" ref="X35" si="43">+A34</f>
        <v>Drama</v>
      </c>
      <c r="Y35" s="252" t="str">
        <f t="shared" si="6"/>
        <v>Assistant Advisor</v>
      </c>
      <c r="Z35" s="323">
        <f t="shared" si="7"/>
        <v>2636.5542832299998</v>
      </c>
      <c r="AA35" s="323">
        <f t="shared" si="8"/>
        <v>3144.6240811746425</v>
      </c>
    </row>
    <row r="36" spans="1:27" s="2" customFormat="1" ht="19.95" customHeight="1" x14ac:dyDescent="0.3">
      <c r="A36" s="407" t="s">
        <v>21</v>
      </c>
      <c r="B36" s="409">
        <f>+S36</f>
        <v>8097</v>
      </c>
      <c r="C36" s="365" t="s">
        <v>58</v>
      </c>
      <c r="D36" s="313">
        <f t="shared" si="0"/>
        <v>1</v>
      </c>
      <c r="E36" s="316" t="s">
        <v>4</v>
      </c>
      <c r="F36" s="366"/>
      <c r="G36" s="401" t="s">
        <v>255</v>
      </c>
      <c r="H36" s="403" t="s">
        <v>256</v>
      </c>
      <c r="I36" s="348"/>
      <c r="J36" s="297">
        <f>IF(E36="A",'HS - Lane and Step Schedule'!B$7,IF(E36="B",'HS - Lane and Step Schedule'!D$7,IF(E36="C",'HS - Lane and Step Schedule'!F$7,IF(E36="D",'HS - Lane and Step Schedule'!H$7,IF(E36="E",'HS - Lane and Step Schedule'!J$7,IF(E36="F",'HS - Lane and Step Schedule'!L$7,IF(E36="G",'HS - Lane and Step Schedule'!N$7,IF(E36="H",'HS - Lane and Step Schedule'!P$7,IF(E36="I",'HS - Lane and Step Schedule'!R$7,IF(E36="J",'HS - Lane and Step Schedule'!T$7))))))))))</f>
        <v>0.11024100000000001</v>
      </c>
      <c r="K36" s="307">
        <f t="shared" si="1"/>
        <v>4358.3856518700004</v>
      </c>
      <c r="L36" s="297">
        <f>IF(E36="A",'HS - Lane and Step Schedule'!B$16,IF(E36="B",'HS - Lane and Step Schedule'!D$16,IF(E36="C",'HS - Lane and Step Schedule'!F$16,IF(E36="D",'HS - Lane and Step Schedule'!H$16,IF(E36="E",'HS - Lane and Step Schedule'!J$16,IF(E36="F",'HS - Lane and Step Schedule'!L$16,IF(E36="G",'HS - Lane and Step Schedule'!N$16,IF(E36="H",'HS - Lane and Step Schedule'!P$16,IF(E36="I",'HS - Lane and Step Schedule'!R$16,IF(E36="J",'HS - Lane and Step Schedule'!T$16))))))))))</f>
        <v>0.12761773762500003</v>
      </c>
      <c r="M36" s="307">
        <f t="shared" si="2"/>
        <v>5045.3761902460101</v>
      </c>
      <c r="N36" s="297">
        <f>IF(E36="A",'HS - Lane and Step Schedule'!B$25,IF(E36="B",'HS - Lane and Step Schedule'!D$25,IF(E36="C",'HS - Lane and Step Schedule'!F$25,IF(E36="D",'HS - Lane and Step Schedule'!H$25,IF(E36="E",'HS - Lane and Step Schedule'!J$25,IF(E36="F",'HS - Lane and Step Schedule'!L$25,IF(E36="G",'HS - Lane and Step Schedule'!N$25,IF(E36="H",'HS - Lane and Step Schedule'!P$25,IF(E36="I",'HS - Lane and Step Schedule'!R$25,IF(E36="J",'HS - Lane and Step Schedule'!T$25))))))))))</f>
        <v>0.13148468269277513</v>
      </c>
      <c r="O36" s="307">
        <f t="shared" si="3"/>
        <v>5198.2561341866531</v>
      </c>
      <c r="P36" s="319">
        <v>1</v>
      </c>
      <c r="Q36" s="296">
        <v>1</v>
      </c>
      <c r="R36" s="298">
        <f t="shared" si="4"/>
        <v>5045</v>
      </c>
      <c r="S36" s="298">
        <f>+R36+R37</f>
        <v>8097</v>
      </c>
      <c r="T36" s="298">
        <f>+S36*0.3134</f>
        <v>2537.5998</v>
      </c>
      <c r="U36" s="298">
        <f>+S36+T36</f>
        <v>10634.5998</v>
      </c>
      <c r="V36" s="302"/>
      <c r="X36" s="252" t="str">
        <f t="shared" ref="X36" si="44">+A36</f>
        <v>Drill Team</v>
      </c>
      <c r="Y36" s="252" t="str">
        <f t="shared" si="6"/>
        <v>Head Advisor</v>
      </c>
      <c r="Z36" s="323">
        <f t="shared" si="7"/>
        <v>4358.3856518700004</v>
      </c>
      <c r="AA36" s="323">
        <f t="shared" si="8"/>
        <v>5198.2561341866531</v>
      </c>
    </row>
    <row r="37" spans="1:27" s="2" customFormat="1" ht="19.95" customHeight="1" thickBot="1" x14ac:dyDescent="0.35">
      <c r="A37" s="408"/>
      <c r="B37" s="413"/>
      <c r="C37" s="367" t="s">
        <v>59</v>
      </c>
      <c r="D37" s="304">
        <f t="shared" si="0"/>
        <v>4</v>
      </c>
      <c r="E37" s="317" t="s">
        <v>5</v>
      </c>
      <c r="F37" s="368"/>
      <c r="G37" s="402"/>
      <c r="H37" s="404"/>
      <c r="I37" s="348"/>
      <c r="J37" s="303">
        <f>IF(E37="A",'HS - Lane and Step Schedule'!B$7,IF(E37="B",'HS - Lane and Step Schedule'!D$7,IF(E37="C",'HS - Lane and Step Schedule'!F$7,IF(E37="D",'HS - Lane and Step Schedule'!H$7,IF(E37="E",'HS - Lane and Step Schedule'!J$7,IF(E37="F",'HS - Lane and Step Schedule'!L$7,IF(E37="G",'HS - Lane and Step Schedule'!N$7,IF(E37="H",'HS - Lane and Step Schedule'!P$7,IF(E37="I",'HS - Lane and Step Schedule'!R$7,IF(E37="J",'HS - Lane and Step Schedule'!T$7))))))))))</f>
        <v>6.6688999999999998E-2</v>
      </c>
      <c r="K37" s="308">
        <f t="shared" si="1"/>
        <v>2636.5542832299998</v>
      </c>
      <c r="L37" s="303">
        <f>IF(E37="A",'HS - Lane and Step Schedule'!B$16,IF(E37="B",'HS - Lane and Step Schedule'!D$16,IF(E37="C",'HS - Lane and Step Schedule'!F$16,IF(E37="D",'HS - Lane and Step Schedule'!H$16,IF(E37="E",'HS - Lane and Step Schedule'!J$16,IF(E37="F",'HS - Lane and Step Schedule'!L$16,IF(E37="G",'HS - Lane and Step Schedule'!N$16,IF(E37="H",'HS - Lane and Step Schedule'!P$16,IF(E37="I",'HS - Lane and Step Schedule'!R$16,IF(E37="J",'HS - Lane and Step Schedule'!T$16))))))))))</f>
        <v>7.7200853624999996E-2</v>
      </c>
      <c r="M37" s="308">
        <f t="shared" si="2"/>
        <v>3052.1411521241284</v>
      </c>
      <c r="N37" s="303">
        <f>IF(E37="A",'HS - Lane and Step Schedule'!B$25,IF(E37="B",'HS - Lane and Step Schedule'!D$25,IF(E37="C",'HS - Lane and Step Schedule'!F$25,IF(E37="D",'HS - Lane and Step Schedule'!H$25,IF(E37="E",'HS - Lane and Step Schedule'!J$25,IF(E37="F",'HS - Lane and Step Schedule'!L$25,IF(E37="G",'HS - Lane and Step Schedule'!N$25,IF(E37="H",'HS - Lane and Step Schedule'!P$25,IF(E37="I",'HS - Lane and Step Schedule'!R$25,IF(E37="J",'HS - Lane and Step Schedule'!T$25))))))))))</f>
        <v>7.9540116690691137E-2</v>
      </c>
      <c r="O37" s="308">
        <f t="shared" si="3"/>
        <v>3144.6240811746425</v>
      </c>
      <c r="P37" s="320">
        <v>4</v>
      </c>
      <c r="Q37" s="305">
        <v>1</v>
      </c>
      <c r="R37" s="309">
        <f t="shared" si="4"/>
        <v>3052</v>
      </c>
      <c r="S37" s="309"/>
      <c r="T37" s="310"/>
      <c r="U37" s="310"/>
      <c r="V37" s="306"/>
      <c r="X37" s="252" t="str">
        <f t="shared" ref="X37" si="45">+A36</f>
        <v>Drill Team</v>
      </c>
      <c r="Y37" s="252" t="str">
        <f t="shared" si="6"/>
        <v>Assistant Advisor</v>
      </c>
      <c r="Z37" s="323">
        <f t="shared" si="7"/>
        <v>2636.5542832299998</v>
      </c>
      <c r="AA37" s="323">
        <f t="shared" si="8"/>
        <v>3144.6240811746425</v>
      </c>
    </row>
    <row r="38" spans="1:27" s="2" customFormat="1" ht="19.95" customHeight="1" x14ac:dyDescent="0.3">
      <c r="A38" s="407" t="s">
        <v>197</v>
      </c>
      <c r="B38" s="409">
        <f>+S38</f>
        <v>1526</v>
      </c>
      <c r="C38" s="365" t="s">
        <v>58</v>
      </c>
      <c r="D38" s="313">
        <f t="shared" si="0"/>
        <v>0</v>
      </c>
      <c r="E38" s="316"/>
      <c r="F38" s="369" t="s">
        <v>227</v>
      </c>
      <c r="G38" s="401" t="s">
        <v>122</v>
      </c>
      <c r="H38" s="403" t="s">
        <v>259</v>
      </c>
      <c r="I38" s="348"/>
      <c r="J38" s="297" t="b">
        <f>IF(E38="A",'HS - Lane and Step Schedule'!B$7,IF(E38="B",'HS - Lane and Step Schedule'!D$7,IF(E38="C",'HS - Lane and Step Schedule'!F$7,IF(E38="D",'HS - Lane and Step Schedule'!H$7,IF(E38="E",'HS - Lane and Step Schedule'!J$7,IF(E38="F",'HS - Lane and Step Schedule'!L$7,IF(E38="G",'HS - Lane and Step Schedule'!N$7,IF(E38="H",'HS - Lane and Step Schedule'!P$7,IF(E38="I",'HS - Lane and Step Schedule'!R$7,IF(E38="J",'HS - Lane and Step Schedule'!T$7))))))))))</f>
        <v>0</v>
      </c>
      <c r="K38" s="307">
        <f t="shared" si="1"/>
        <v>0</v>
      </c>
      <c r="L38" s="297" t="b">
        <f>IF(E38="A",'HS - Lane and Step Schedule'!B$16,IF(E38="B",'HS - Lane and Step Schedule'!D$16,IF(E38="C",'HS - Lane and Step Schedule'!F$16,IF(E38="D",'HS - Lane and Step Schedule'!H$16,IF(E38="E",'HS - Lane and Step Schedule'!J$16,IF(E38="F",'HS - Lane and Step Schedule'!L$16,IF(E38="G",'HS - Lane and Step Schedule'!N$16,IF(E38="H",'HS - Lane and Step Schedule'!P$16,IF(E38="I",'HS - Lane and Step Schedule'!R$16,IF(E38="J",'HS - Lane and Step Schedule'!T$16))))))))))</f>
        <v>0</v>
      </c>
      <c r="M38" s="307">
        <f t="shared" si="2"/>
        <v>0</v>
      </c>
      <c r="N38" s="297" t="b">
        <f>IF(E38="A",'HS - Lane and Step Schedule'!B$25,IF(E38="B",'HS - Lane and Step Schedule'!D$25,IF(E38="C",'HS - Lane and Step Schedule'!F$25,IF(E38="D",'HS - Lane and Step Schedule'!H$25,IF(E38="E",'HS - Lane and Step Schedule'!J$25,IF(E38="F",'HS - Lane and Step Schedule'!L$25,IF(E38="G",'HS - Lane and Step Schedule'!N$25,IF(E38="H",'HS - Lane and Step Schedule'!P$25,IF(E38="I",'HS - Lane and Step Schedule'!R$25,IF(E38="J",'HS - Lane and Step Schedule'!T$25))))))))))</f>
        <v>0</v>
      </c>
      <c r="O38" s="307">
        <f t="shared" si="3"/>
        <v>0</v>
      </c>
      <c r="P38" s="319">
        <v>0</v>
      </c>
      <c r="Q38" s="296">
        <v>0</v>
      </c>
      <c r="R38" s="298">
        <f t="shared" si="4"/>
        <v>0</v>
      </c>
      <c r="S38" s="298">
        <f>+R38+R39</f>
        <v>1526</v>
      </c>
      <c r="T38" s="298">
        <f>+S38*0.3134</f>
        <v>478.2484</v>
      </c>
      <c r="U38" s="298">
        <f>+S38+T38</f>
        <v>2004.2483999999999</v>
      </c>
      <c r="V38" s="302"/>
      <c r="X38" s="252" t="str">
        <f t="shared" ref="X38" si="46">+A38</f>
        <v>Drum Line</v>
      </c>
      <c r="Y38" s="252" t="str">
        <f t="shared" si="6"/>
        <v>Head Advisor</v>
      </c>
      <c r="Z38" s="323">
        <f t="shared" si="7"/>
        <v>0</v>
      </c>
      <c r="AA38" s="323">
        <f t="shared" si="8"/>
        <v>0</v>
      </c>
    </row>
    <row r="39" spans="1:27" s="2" customFormat="1" ht="19.95" customHeight="1" thickBot="1" x14ac:dyDescent="0.35">
      <c r="A39" s="408"/>
      <c r="B39" s="413"/>
      <c r="C39" s="367" t="s">
        <v>59</v>
      </c>
      <c r="D39" s="304">
        <f t="shared" si="0"/>
        <v>2</v>
      </c>
      <c r="E39" s="317" t="s">
        <v>5</v>
      </c>
      <c r="F39" s="368"/>
      <c r="G39" s="402"/>
      <c r="H39" s="404"/>
      <c r="I39" s="348"/>
      <c r="J39" s="303">
        <f>IF(E39="A",'HS - Lane and Step Schedule'!B$7,IF(E39="B",'HS - Lane and Step Schedule'!D$7,IF(E39="C",'HS - Lane and Step Schedule'!F$7,IF(E39="D",'HS - Lane and Step Schedule'!H$7,IF(E39="E",'HS - Lane and Step Schedule'!J$7,IF(E39="F",'HS - Lane and Step Schedule'!L$7,IF(E39="G",'HS - Lane and Step Schedule'!N$7,IF(E39="H",'HS - Lane and Step Schedule'!P$7,IF(E39="I",'HS - Lane and Step Schedule'!R$7,IF(E39="J",'HS - Lane and Step Schedule'!T$7))))))))))</f>
        <v>6.6688999999999998E-2</v>
      </c>
      <c r="K39" s="308">
        <f t="shared" si="1"/>
        <v>2636.5542832299998</v>
      </c>
      <c r="L39" s="303">
        <f>IF(E39="A",'HS - Lane and Step Schedule'!B$16,IF(E39="B",'HS - Lane and Step Schedule'!D$16,IF(E39="C",'HS - Lane and Step Schedule'!F$16,IF(E39="D",'HS - Lane and Step Schedule'!H$16,IF(E39="E",'HS - Lane and Step Schedule'!J$16,IF(E39="F",'HS - Lane and Step Schedule'!L$16,IF(E39="G",'HS - Lane and Step Schedule'!N$16,IF(E39="H",'HS - Lane and Step Schedule'!P$16,IF(E39="I",'HS - Lane and Step Schedule'!R$16,IF(E39="J",'HS - Lane and Step Schedule'!T$16))))))))))</f>
        <v>7.7200853624999996E-2</v>
      </c>
      <c r="M39" s="308">
        <f t="shared" si="2"/>
        <v>3052.1411521241284</v>
      </c>
      <c r="N39" s="303">
        <f>IF(E39="A",'HS - Lane and Step Schedule'!B$25,IF(E39="B",'HS - Lane and Step Schedule'!D$25,IF(E39="C",'HS - Lane and Step Schedule'!F$25,IF(E39="D",'HS - Lane and Step Schedule'!H$25,IF(E39="E",'HS - Lane and Step Schedule'!J$25,IF(E39="F",'HS - Lane and Step Schedule'!L$25,IF(E39="G",'HS - Lane and Step Schedule'!N$25,IF(E39="H",'HS - Lane and Step Schedule'!P$25,IF(E39="I",'HS - Lane and Step Schedule'!R$25,IF(E39="J",'HS - Lane and Step Schedule'!T$25))))))))))</f>
        <v>7.9540116690691137E-2</v>
      </c>
      <c r="O39" s="308">
        <f t="shared" si="3"/>
        <v>3144.6240811746425</v>
      </c>
      <c r="P39" s="320">
        <v>2</v>
      </c>
      <c r="Q39" s="305">
        <v>0.5</v>
      </c>
      <c r="R39" s="309">
        <f t="shared" si="4"/>
        <v>1526</v>
      </c>
      <c r="S39" s="309"/>
      <c r="T39" s="310"/>
      <c r="U39" s="310"/>
      <c r="V39" s="306"/>
      <c r="X39" s="252" t="str">
        <f t="shared" ref="X39" si="47">+A38</f>
        <v>Drum Line</v>
      </c>
      <c r="Y39" s="252" t="str">
        <f t="shared" si="6"/>
        <v>Assistant Advisor</v>
      </c>
      <c r="Z39" s="323">
        <f t="shared" si="7"/>
        <v>2636.5542832299998</v>
      </c>
      <c r="AA39" s="323">
        <f t="shared" si="8"/>
        <v>3144.6240811746425</v>
      </c>
    </row>
    <row r="40" spans="1:27" s="2" customFormat="1" ht="19.95" customHeight="1" x14ac:dyDescent="0.3">
      <c r="A40" s="407" t="s">
        <v>3</v>
      </c>
      <c r="B40" s="409">
        <f>+S40</f>
        <v>31082</v>
      </c>
      <c r="C40" s="365" t="s">
        <v>57</v>
      </c>
      <c r="D40" s="313">
        <f t="shared" ref="D40:D71" si="48">+P40</f>
        <v>1</v>
      </c>
      <c r="E40" s="316" t="s">
        <v>2</v>
      </c>
      <c r="F40" s="366"/>
      <c r="G40" s="401" t="s">
        <v>122</v>
      </c>
      <c r="H40" s="403" t="s">
        <v>259</v>
      </c>
      <c r="I40" s="348"/>
      <c r="J40" s="297">
        <f>IF(E40="A",'HS - Lane and Step Schedule'!B$7,IF(E40="B",'HS - Lane and Step Schedule'!D$7,IF(E40="C",'HS - Lane and Step Schedule'!F$7,IF(E40="D",'HS - Lane and Step Schedule'!H$7,IF(E40="E",'HS - Lane and Step Schedule'!J$7,IF(E40="F",'HS - Lane and Step Schedule'!L$7,IF(E40="G",'HS - Lane and Step Schedule'!N$7,IF(E40="H",'HS - Lane and Step Schedule'!P$7,IF(E40="I",'HS - Lane and Step Schedule'!R$7,IF(E40="J",'HS - Lane and Step Schedule'!T$7))))))))))</f>
        <v>0.1361</v>
      </c>
      <c r="K40" s="307">
        <f t="shared" ref="K40:K71" si="49">+$U$4*J40</f>
        <v>5380.723027</v>
      </c>
      <c r="L40" s="297">
        <f>IF(E40="A",'HS - Lane and Step Schedule'!B$16,IF(E40="B",'HS - Lane and Step Schedule'!D$16,IF(E40="C",'HS - Lane and Step Schedule'!F$16,IF(E40="D",'HS - Lane and Step Schedule'!H$16,IF(E40="E",'HS - Lane and Step Schedule'!J$16,IF(E40="F",'HS - Lane and Step Schedule'!L$16,IF(E40="G",'HS - Lane and Step Schedule'!N$16,IF(E40="H",'HS - Lane and Step Schedule'!P$16,IF(E40="I",'HS - Lane and Step Schedule'!R$16,IF(E40="J",'HS - Lane and Step Schedule'!T$16))))))))))</f>
        <v>0.15755276250000003</v>
      </c>
      <c r="M40" s="307">
        <f t="shared" ref="M40:M71" si="50">+$U$4*L40</f>
        <v>6228.8594941308756</v>
      </c>
      <c r="N40" s="297">
        <f>IF(E40="A",'HS - Lane and Step Schedule'!B$25,IF(E40="B",'HS - Lane and Step Schedule'!D$25,IF(E40="C",'HS - Lane and Step Schedule'!F$25,IF(E40="D",'HS - Lane and Step Schedule'!H$25,IF(E40="E",'HS - Lane and Step Schedule'!J$25,IF(E40="F",'HS - Lane and Step Schedule'!L$25,IF(E40="G",'HS - Lane and Step Schedule'!N$25,IF(E40="H",'HS - Lane and Step Schedule'!P$25,IF(E40="I",'HS - Lane and Step Schedule'!R$25,IF(E40="J",'HS - Lane and Step Schedule'!T$25))))))))))</f>
        <v>0.1623267687565125</v>
      </c>
      <c r="O40" s="307">
        <f t="shared" ref="O40:O71" si="51">+$U$4*N40</f>
        <v>6417.6001656625349</v>
      </c>
      <c r="P40" s="319">
        <v>1</v>
      </c>
      <c r="Q40" s="296">
        <v>1</v>
      </c>
      <c r="R40" s="298">
        <f t="shared" ref="R40:R71" si="52">ROUND($U$4*Q40*L40,0)</f>
        <v>6229</v>
      </c>
      <c r="S40" s="298">
        <f>+R40+R41</f>
        <v>31082</v>
      </c>
      <c r="T40" s="298">
        <f>+S40*0.3134</f>
        <v>9741.0987999999998</v>
      </c>
      <c r="U40" s="298">
        <f>+S40+T40</f>
        <v>40823.0988</v>
      </c>
      <c r="V40" s="302"/>
      <c r="X40" s="252" t="str">
        <f t="shared" ref="X40" si="53">+A40</f>
        <v>Football</v>
      </c>
      <c r="Y40" s="252" t="str">
        <f t="shared" si="6"/>
        <v>Head Coach</v>
      </c>
      <c r="Z40" s="323">
        <f t="shared" si="7"/>
        <v>5380.723027</v>
      </c>
      <c r="AA40" s="323">
        <f t="shared" si="8"/>
        <v>6417.6001656625349</v>
      </c>
    </row>
    <row r="41" spans="1:27" s="2" customFormat="1" ht="19.95" customHeight="1" thickBot="1" x14ac:dyDescent="0.35">
      <c r="A41" s="408"/>
      <c r="B41" s="413"/>
      <c r="C41" s="367" t="s">
        <v>56</v>
      </c>
      <c r="D41" s="304">
        <f t="shared" si="48"/>
        <v>15</v>
      </c>
      <c r="E41" s="374" t="s">
        <v>77</v>
      </c>
      <c r="F41" s="368"/>
      <c r="G41" s="402"/>
      <c r="H41" s="404"/>
      <c r="I41" s="348"/>
      <c r="J41" s="303">
        <f>IF(E41="A",'HS - Lane and Step Schedule'!B$7,IF(E41="B",'HS - Lane and Step Schedule'!D$7,IF(E41="C",'HS - Lane and Step Schedule'!F$7,IF(E41="D",'HS - Lane and Step Schedule'!H$7,IF(E41="E",'HS - Lane and Step Schedule'!J$7,IF(E41="F",'HS - Lane and Step Schedule'!L$7,IF(E41="G",'HS - Lane and Step Schedule'!N$7,IF(E41="H",'HS - Lane and Step Schedule'!P$7,IF(E41="I",'HS - Lane and Step Schedule'!R$7,IF(E41="J",'HS - Lane and Step Schedule'!T$7))))))))))</f>
        <v>7.7576999999999993E-2</v>
      </c>
      <c r="K41" s="308">
        <f t="shared" si="49"/>
        <v>3067.0121253899997</v>
      </c>
      <c r="L41" s="303">
        <f>IF(E41="A",'HS - Lane and Step Schedule'!B$16,IF(E41="B",'HS - Lane and Step Schedule'!D$16,IF(E41="C",'HS - Lane and Step Schedule'!F$16,IF(E41="D",'HS - Lane and Step Schedule'!H$16,IF(E41="E",'HS - Lane and Step Schedule'!J$16,IF(E41="F",'HS - Lane and Step Schedule'!L$16,IF(E41="G",'HS - Lane and Step Schedule'!N$16,IF(E41="H",'HS - Lane and Step Schedule'!P$16,IF(E41="I",'HS - Lane and Step Schedule'!R$16,IF(E41="J",'HS - Lane and Step Schedule'!T$16))))))))))</f>
        <v>8.9805074625000009E-2</v>
      </c>
      <c r="M41" s="308">
        <f t="shared" si="50"/>
        <v>3550.449911654599</v>
      </c>
      <c r="N41" s="303">
        <f>IF(E41="A",'HS - Lane and Step Schedule'!B$25,IF(E41="B",'HS - Lane and Step Schedule'!D$25,IF(E41="C",'HS - Lane and Step Schedule'!F$25,IF(E41="D",'HS - Lane and Step Schedule'!H$25,IF(E41="E",'HS - Lane and Step Schedule'!J$25,IF(E41="F",'HS - Lane and Step Schedule'!L$25,IF(E41="G",'HS - Lane and Step Schedule'!N$25,IF(E41="H",'HS - Lane and Step Schedule'!P$25,IF(E41="I",'HS - Lane and Step Schedule'!R$25,IF(E41="J",'HS - Lane and Step Schedule'!T$25))))))))))</f>
        <v>9.252625819121213E-2</v>
      </c>
      <c r="O41" s="308">
        <f t="shared" si="51"/>
        <v>3658.032094427645</v>
      </c>
      <c r="P41" s="320">
        <v>15</v>
      </c>
      <c r="Q41" s="305">
        <f>6+1</f>
        <v>7</v>
      </c>
      <c r="R41" s="309">
        <f t="shared" si="52"/>
        <v>24853</v>
      </c>
      <c r="S41" s="309"/>
      <c r="T41" s="310"/>
      <c r="U41" s="310"/>
      <c r="V41" s="306"/>
      <c r="X41" s="252" t="str">
        <f t="shared" ref="X41" si="54">+A40</f>
        <v>Football</v>
      </c>
      <c r="Y41" s="252" t="str">
        <f t="shared" si="6"/>
        <v>Assistant Coach</v>
      </c>
      <c r="Z41" s="323">
        <f t="shared" si="7"/>
        <v>3067.0121253899997</v>
      </c>
      <c r="AA41" s="323">
        <f t="shared" si="8"/>
        <v>3658.032094427645</v>
      </c>
    </row>
    <row r="42" spans="1:27" s="2" customFormat="1" ht="19.95" customHeight="1" x14ac:dyDescent="0.3">
      <c r="A42" s="407" t="s">
        <v>93</v>
      </c>
      <c r="B42" s="409">
        <f>+S42</f>
        <v>3675</v>
      </c>
      <c r="C42" s="365" t="s">
        <v>57</v>
      </c>
      <c r="D42" s="313">
        <f t="shared" si="48"/>
        <v>1</v>
      </c>
      <c r="E42" s="316" t="s">
        <v>10</v>
      </c>
      <c r="F42" s="366"/>
      <c r="G42" s="401" t="s">
        <v>122</v>
      </c>
      <c r="H42" s="403" t="s">
        <v>259</v>
      </c>
      <c r="I42" s="348"/>
      <c r="J42" s="297">
        <f>IF(E42="A",'HS - Lane and Step Schedule'!B$7,IF(E42="B",'HS - Lane and Step Schedule'!D$7,IF(E42="C",'HS - Lane and Step Schedule'!F$7,IF(E42="D",'HS - Lane and Step Schedule'!H$7,IF(E42="E",'HS - Lane and Step Schedule'!J$7,IF(E42="F",'HS - Lane and Step Schedule'!L$7,IF(E42="G",'HS - Lane and Step Schedule'!N$7,IF(E42="H",'HS - Lane and Step Schedule'!P$7,IF(E42="I",'HS - Lane and Step Schedule'!R$7,IF(E42="J",'HS - Lane and Step Schedule'!T$7))))))))))</f>
        <v>5.4440000000000002E-2</v>
      </c>
      <c r="K42" s="307">
        <f t="shared" si="49"/>
        <v>2152.2892108000001</v>
      </c>
      <c r="L42" s="297">
        <f>IF(E42="A",'HS - Lane and Step Schedule'!B$16,IF(E42="B",'HS - Lane and Step Schedule'!D$16,IF(E42="C",'HS - Lane and Step Schedule'!F$16,IF(E42="D",'HS - Lane and Step Schedule'!H$16,IF(E42="E",'HS - Lane and Step Schedule'!J$16,IF(E42="F",'HS - Lane and Step Schedule'!L$16,IF(E42="G",'HS - Lane and Step Schedule'!N$16,IF(E42="H",'HS - Lane and Step Schedule'!P$16,IF(E42="I",'HS - Lane and Step Schedule'!R$16,IF(E42="J",'HS - Lane and Step Schedule'!T$16))))))))))</f>
        <v>6.3021105000000008E-2</v>
      </c>
      <c r="M42" s="307">
        <f t="shared" si="50"/>
        <v>2491.5437976523503</v>
      </c>
      <c r="N42" s="297">
        <f>IF(E42="A",'HS - Lane and Step Schedule'!B$25,IF(E42="B",'HS - Lane and Step Schedule'!D$25,IF(E42="C",'HS - Lane and Step Schedule'!F$25,IF(E42="D",'HS - Lane and Step Schedule'!H$25,IF(E42="E",'HS - Lane and Step Schedule'!J$25,IF(E42="F",'HS - Lane and Step Schedule'!L$25,IF(E42="G",'HS - Lane and Step Schedule'!N$25,IF(E42="H",'HS - Lane and Step Schedule'!P$25,IF(E42="I",'HS - Lane and Step Schedule'!R$25,IF(E42="J",'HS - Lane and Step Schedule'!T$25))))))))))</f>
        <v>6.4930707502605017E-2</v>
      </c>
      <c r="O42" s="307">
        <f t="shared" si="51"/>
        <v>2567.0400662650145</v>
      </c>
      <c r="P42" s="319">
        <v>1</v>
      </c>
      <c r="Q42" s="296">
        <v>1</v>
      </c>
      <c r="R42" s="298">
        <f t="shared" si="52"/>
        <v>2492</v>
      </c>
      <c r="S42" s="298">
        <f>+R42+R43</f>
        <v>3675</v>
      </c>
      <c r="T42" s="298">
        <f>+S42*0.3134</f>
        <v>1151.7450000000001</v>
      </c>
      <c r="U42" s="298">
        <f>+S42+T42</f>
        <v>4826.7449999999999</v>
      </c>
      <c r="V42" s="302"/>
      <c r="X42" s="252" t="str">
        <f t="shared" ref="X42" si="55">+A42</f>
        <v>Golf - Boys</v>
      </c>
      <c r="Y42" s="252" t="str">
        <f t="shared" si="6"/>
        <v>Head Coach</v>
      </c>
      <c r="Z42" s="323">
        <f t="shared" si="7"/>
        <v>2152.2892108000001</v>
      </c>
      <c r="AA42" s="323">
        <f t="shared" si="8"/>
        <v>2567.0400662650145</v>
      </c>
    </row>
    <row r="43" spans="1:27" s="2" customFormat="1" ht="19.95" customHeight="1" thickBot="1" x14ac:dyDescent="0.35">
      <c r="A43" s="408"/>
      <c r="B43" s="413"/>
      <c r="C43" s="367" t="s">
        <v>56</v>
      </c>
      <c r="D43" s="304">
        <f t="shared" si="48"/>
        <v>2</v>
      </c>
      <c r="E43" s="317" t="s">
        <v>78</v>
      </c>
      <c r="F43" s="368"/>
      <c r="G43" s="402"/>
      <c r="H43" s="404"/>
      <c r="I43" s="348"/>
      <c r="J43" s="303">
        <f>IF(E43="A",'HS - Lane and Step Schedule'!B$7,IF(E43="B",'HS - Lane and Step Schedule'!D$7,IF(E43="C",'HS - Lane and Step Schedule'!F$7,IF(E43="D",'HS - Lane and Step Schedule'!H$7,IF(E43="E",'HS - Lane and Step Schedule'!J$7,IF(E43="F",'HS - Lane and Step Schedule'!L$7,IF(E43="G",'HS - Lane and Step Schedule'!N$7,IF(E43="H",'HS - Lane and Step Schedule'!P$7,IF(E43="I",'HS - Lane and Step Schedule'!R$7,IF(E43="J",'HS - Lane and Step Schedule'!T$7))))))))))</f>
        <v>2.5859E-2</v>
      </c>
      <c r="K43" s="308">
        <f t="shared" si="49"/>
        <v>1022.3373751299999</v>
      </c>
      <c r="L43" s="303">
        <f>IF(E43="A",'HS - Lane and Step Schedule'!B$16,IF(E43="B",'HS - Lane and Step Schedule'!D$16,IF(E43="C",'HS - Lane and Step Schedule'!F$16,IF(E43="D",'HS - Lane and Step Schedule'!H$16,IF(E43="E",'HS - Lane and Step Schedule'!J$16,IF(E43="F",'HS - Lane and Step Schedule'!L$16,IF(E43="G",'HS - Lane and Step Schedule'!N$16,IF(E43="H",'HS - Lane and Step Schedule'!P$16,IF(E43="I",'HS - Lane and Step Schedule'!R$16,IF(E43="J",'HS - Lane and Step Schedule'!T$16))))))))))</f>
        <v>2.9935024875000004E-2</v>
      </c>
      <c r="M43" s="308">
        <f t="shared" si="50"/>
        <v>1183.4833038848665</v>
      </c>
      <c r="N43" s="303">
        <f>IF(E43="A",'HS - Lane and Step Schedule'!B$25,IF(E43="B",'HS - Lane and Step Schedule'!D$25,IF(E43="C",'HS - Lane and Step Schedule'!F$25,IF(E43="D",'HS - Lane and Step Schedule'!H$25,IF(E43="E",'HS - Lane and Step Schedule'!J$25,IF(E43="F",'HS - Lane and Step Schedule'!L$25,IF(E43="G",'HS - Lane and Step Schedule'!N$25,IF(E43="H",'HS - Lane and Step Schedule'!P$25,IF(E43="I",'HS - Lane and Step Schedule'!R$25,IF(E43="J",'HS - Lane and Step Schedule'!T$25))))))))))</f>
        <v>3.0842086063737378E-2</v>
      </c>
      <c r="O43" s="308">
        <f t="shared" si="51"/>
        <v>1219.3440314758816</v>
      </c>
      <c r="P43" s="320">
        <v>2</v>
      </c>
      <c r="Q43" s="305">
        <v>1</v>
      </c>
      <c r="R43" s="309">
        <f t="shared" si="52"/>
        <v>1183</v>
      </c>
      <c r="S43" s="309"/>
      <c r="T43" s="310"/>
      <c r="U43" s="310"/>
      <c r="V43" s="306"/>
      <c r="X43" s="252" t="str">
        <f t="shared" ref="X43" si="56">+A42</f>
        <v>Golf - Boys</v>
      </c>
      <c r="Y43" s="252" t="str">
        <f t="shared" si="6"/>
        <v>Assistant Coach</v>
      </c>
      <c r="Z43" s="323">
        <f t="shared" si="7"/>
        <v>1022.3373751299999</v>
      </c>
      <c r="AA43" s="323">
        <f t="shared" si="8"/>
        <v>1219.3440314758816</v>
      </c>
    </row>
    <row r="44" spans="1:27" s="2" customFormat="1" ht="19.95" customHeight="1" x14ac:dyDescent="0.3">
      <c r="A44" s="407" t="s">
        <v>94</v>
      </c>
      <c r="B44" s="409">
        <f>+S44</f>
        <v>3675</v>
      </c>
      <c r="C44" s="365" t="s">
        <v>57</v>
      </c>
      <c r="D44" s="313">
        <f t="shared" si="48"/>
        <v>1</v>
      </c>
      <c r="E44" s="316" t="s">
        <v>10</v>
      </c>
      <c r="F44" s="366"/>
      <c r="G44" s="401" t="s">
        <v>124</v>
      </c>
      <c r="H44" s="403" t="s">
        <v>257</v>
      </c>
      <c r="I44" s="348"/>
      <c r="J44" s="297">
        <f>IF(E44="A",'HS - Lane and Step Schedule'!B$7,IF(E44="B",'HS - Lane and Step Schedule'!D$7,IF(E44="C",'HS - Lane and Step Schedule'!F$7,IF(E44="D",'HS - Lane and Step Schedule'!H$7,IF(E44="E",'HS - Lane and Step Schedule'!J$7,IF(E44="F",'HS - Lane and Step Schedule'!L$7,IF(E44="G",'HS - Lane and Step Schedule'!N$7,IF(E44="H",'HS - Lane and Step Schedule'!P$7,IF(E44="I",'HS - Lane and Step Schedule'!R$7,IF(E44="J",'HS - Lane and Step Schedule'!T$7))))))))))</f>
        <v>5.4440000000000002E-2</v>
      </c>
      <c r="K44" s="307">
        <f t="shared" si="49"/>
        <v>2152.2892108000001</v>
      </c>
      <c r="L44" s="297">
        <f>IF(E44="A",'HS - Lane and Step Schedule'!B$16,IF(E44="B",'HS - Lane and Step Schedule'!D$16,IF(E44="C",'HS - Lane and Step Schedule'!F$16,IF(E44="D",'HS - Lane and Step Schedule'!H$16,IF(E44="E",'HS - Lane and Step Schedule'!J$16,IF(E44="F",'HS - Lane and Step Schedule'!L$16,IF(E44="G",'HS - Lane and Step Schedule'!N$16,IF(E44="H",'HS - Lane and Step Schedule'!P$16,IF(E44="I",'HS - Lane and Step Schedule'!R$16,IF(E44="J",'HS - Lane and Step Schedule'!T$16))))))))))</f>
        <v>6.3021105000000008E-2</v>
      </c>
      <c r="M44" s="307">
        <f t="shared" si="50"/>
        <v>2491.5437976523503</v>
      </c>
      <c r="N44" s="297">
        <f>IF(E44="A",'HS - Lane and Step Schedule'!B$25,IF(E44="B",'HS - Lane and Step Schedule'!D$25,IF(E44="C",'HS - Lane and Step Schedule'!F$25,IF(E44="D",'HS - Lane and Step Schedule'!H$25,IF(E44="E",'HS - Lane and Step Schedule'!J$25,IF(E44="F",'HS - Lane and Step Schedule'!L$25,IF(E44="G",'HS - Lane and Step Schedule'!N$25,IF(E44="H",'HS - Lane and Step Schedule'!P$25,IF(E44="I",'HS - Lane and Step Schedule'!R$25,IF(E44="J",'HS - Lane and Step Schedule'!T$25))))))))))</f>
        <v>6.4930707502605017E-2</v>
      </c>
      <c r="O44" s="307">
        <f t="shared" si="51"/>
        <v>2567.0400662650145</v>
      </c>
      <c r="P44" s="319">
        <v>1</v>
      </c>
      <c r="Q44" s="296">
        <v>1</v>
      </c>
      <c r="R44" s="298">
        <f t="shared" si="52"/>
        <v>2492</v>
      </c>
      <c r="S44" s="298">
        <f>+R44+R45</f>
        <v>3675</v>
      </c>
      <c r="T44" s="298">
        <f>+S44*0.3134</f>
        <v>1151.7450000000001</v>
      </c>
      <c r="U44" s="298">
        <f>+S44+T44</f>
        <v>4826.7449999999999</v>
      </c>
      <c r="V44" s="302"/>
      <c r="X44" s="252" t="str">
        <f t="shared" ref="X44" si="57">+A44</f>
        <v>Golf - Girls</v>
      </c>
      <c r="Y44" s="252" t="str">
        <f t="shared" si="6"/>
        <v>Head Coach</v>
      </c>
      <c r="Z44" s="323">
        <f t="shared" si="7"/>
        <v>2152.2892108000001</v>
      </c>
      <c r="AA44" s="323">
        <f t="shared" si="8"/>
        <v>2567.0400662650145</v>
      </c>
    </row>
    <row r="45" spans="1:27" s="2" customFormat="1" ht="19.95" customHeight="1" thickBot="1" x14ac:dyDescent="0.35">
      <c r="A45" s="408"/>
      <c r="B45" s="413"/>
      <c r="C45" s="367" t="s">
        <v>56</v>
      </c>
      <c r="D45" s="304">
        <f t="shared" si="48"/>
        <v>2</v>
      </c>
      <c r="E45" s="317" t="s">
        <v>78</v>
      </c>
      <c r="F45" s="368"/>
      <c r="G45" s="402"/>
      <c r="H45" s="404"/>
      <c r="I45" s="348"/>
      <c r="J45" s="303">
        <f>IF(E45="A",'HS - Lane and Step Schedule'!B$7,IF(E45="B",'HS - Lane and Step Schedule'!D$7,IF(E45="C",'HS - Lane and Step Schedule'!F$7,IF(E45="D",'HS - Lane and Step Schedule'!H$7,IF(E45="E",'HS - Lane and Step Schedule'!J$7,IF(E45="F",'HS - Lane and Step Schedule'!L$7,IF(E45="G",'HS - Lane and Step Schedule'!N$7,IF(E45="H",'HS - Lane and Step Schedule'!P$7,IF(E45="I",'HS - Lane and Step Schedule'!R$7,IF(E45="J",'HS - Lane and Step Schedule'!T$7))))))))))</f>
        <v>2.5859E-2</v>
      </c>
      <c r="K45" s="308">
        <f t="shared" si="49"/>
        <v>1022.3373751299999</v>
      </c>
      <c r="L45" s="303">
        <f>IF(E45="A",'HS - Lane and Step Schedule'!B$16,IF(E45="B",'HS - Lane and Step Schedule'!D$16,IF(E45="C",'HS - Lane and Step Schedule'!F$16,IF(E45="D",'HS - Lane and Step Schedule'!H$16,IF(E45="E",'HS - Lane and Step Schedule'!J$16,IF(E45="F",'HS - Lane and Step Schedule'!L$16,IF(E45="G",'HS - Lane and Step Schedule'!N$16,IF(E45="H",'HS - Lane and Step Schedule'!P$16,IF(E45="I",'HS - Lane and Step Schedule'!R$16,IF(E45="J",'HS - Lane and Step Schedule'!T$16))))))))))</f>
        <v>2.9935024875000004E-2</v>
      </c>
      <c r="M45" s="308">
        <f t="shared" si="50"/>
        <v>1183.4833038848665</v>
      </c>
      <c r="N45" s="303">
        <f>IF(E45="A",'HS - Lane and Step Schedule'!B$25,IF(E45="B",'HS - Lane and Step Schedule'!D$25,IF(E45="C",'HS - Lane and Step Schedule'!F$25,IF(E45="D",'HS - Lane and Step Schedule'!H$25,IF(E45="E",'HS - Lane and Step Schedule'!J$25,IF(E45="F",'HS - Lane and Step Schedule'!L$25,IF(E45="G",'HS - Lane and Step Schedule'!N$25,IF(E45="H",'HS - Lane and Step Schedule'!P$25,IF(E45="I",'HS - Lane and Step Schedule'!R$25,IF(E45="J",'HS - Lane and Step Schedule'!T$25))))))))))</f>
        <v>3.0842086063737378E-2</v>
      </c>
      <c r="O45" s="308">
        <f t="shared" si="51"/>
        <v>1219.3440314758816</v>
      </c>
      <c r="P45" s="320">
        <v>2</v>
      </c>
      <c r="Q45" s="305">
        <v>1</v>
      </c>
      <c r="R45" s="309">
        <f t="shared" si="52"/>
        <v>1183</v>
      </c>
      <c r="S45" s="309"/>
      <c r="T45" s="310"/>
      <c r="U45" s="310"/>
      <c r="V45" s="306"/>
      <c r="X45" s="252" t="str">
        <f t="shared" ref="X45" si="58">+A44</f>
        <v>Golf - Girls</v>
      </c>
      <c r="Y45" s="252" t="str">
        <f t="shared" si="6"/>
        <v>Assistant Coach</v>
      </c>
      <c r="Z45" s="323">
        <f t="shared" si="7"/>
        <v>1022.3373751299999</v>
      </c>
      <c r="AA45" s="323">
        <f t="shared" si="8"/>
        <v>1219.3440314758816</v>
      </c>
    </row>
    <row r="46" spans="1:27" s="2" customFormat="1" ht="19.95" customHeight="1" x14ac:dyDescent="0.3">
      <c r="A46" s="407" t="s">
        <v>228</v>
      </c>
      <c r="B46" s="409">
        <f>+S46</f>
        <v>7288</v>
      </c>
      <c r="C46" s="365" t="s">
        <v>57</v>
      </c>
      <c r="D46" s="313">
        <f t="shared" si="48"/>
        <v>1</v>
      </c>
      <c r="E46" s="316" t="s">
        <v>22</v>
      </c>
      <c r="F46" s="366"/>
      <c r="G46" s="401" t="s">
        <v>124</v>
      </c>
      <c r="H46" s="403" t="s">
        <v>257</v>
      </c>
      <c r="I46" s="348"/>
      <c r="J46" s="297">
        <f>IF(E46="A",'HS - Lane and Step Schedule'!B$7,IF(E46="B",'HS - Lane and Step Schedule'!D$7,IF(E46="C",'HS - Lane and Step Schedule'!F$7,IF(E46="D",'HS - Lane and Step Schedule'!H$7,IF(E46="E",'HS - Lane and Step Schedule'!J$7,IF(E46="F",'HS - Lane and Step Schedule'!L$7,IF(E46="G",'HS - Lane and Step Schedule'!N$7,IF(E46="H",'HS - Lane and Step Schedule'!P$7,IF(E46="I",'HS - Lane and Step Schedule'!R$7,IF(E46="J",'HS - Lane and Step Schedule'!T$7))))))))))</f>
        <v>9.7991999999999996E-2</v>
      </c>
      <c r="K46" s="307">
        <f t="shared" si="49"/>
        <v>3874.1205794399998</v>
      </c>
      <c r="L46" s="297">
        <f>IF(E46="A",'HS - Lane and Step Schedule'!B$16,IF(E46="B",'HS - Lane and Step Schedule'!D$16,IF(E46="C",'HS - Lane and Step Schedule'!F$16,IF(E46="D",'HS - Lane and Step Schedule'!H$16,IF(E46="E",'HS - Lane and Step Schedule'!J$16,IF(E46="F",'HS - Lane and Step Schedule'!L$16,IF(E46="G",'HS - Lane and Step Schedule'!N$16,IF(E46="H",'HS - Lane and Step Schedule'!P$16,IF(E46="I",'HS - Lane and Step Schedule'!R$16,IF(E46="J",'HS - Lane and Step Schedule'!T$16))))))))))</f>
        <v>0.11343798900000002</v>
      </c>
      <c r="M46" s="307">
        <f t="shared" si="50"/>
        <v>4484.7788357742311</v>
      </c>
      <c r="N46" s="297">
        <f>IF(E46="A",'HS - Lane and Step Schedule'!B$25,IF(E46="B",'HS - Lane and Step Schedule'!D$25,IF(E46="C",'HS - Lane and Step Schedule'!F$25,IF(E46="D",'HS - Lane and Step Schedule'!H$25,IF(E46="E",'HS - Lane and Step Schedule'!J$25,IF(E46="F",'HS - Lane and Step Schedule'!L$25,IF(E46="G",'HS - Lane and Step Schedule'!N$25,IF(E46="H",'HS - Lane and Step Schedule'!P$25,IF(E46="I",'HS - Lane and Step Schedule'!R$25,IF(E46="J",'HS - Lane and Step Schedule'!T$25))))))))))</f>
        <v>0.11687527350468901</v>
      </c>
      <c r="O46" s="307">
        <f t="shared" si="51"/>
        <v>4620.6721192770256</v>
      </c>
      <c r="P46" s="319">
        <v>1</v>
      </c>
      <c r="Q46" s="296">
        <v>1</v>
      </c>
      <c r="R46" s="298">
        <f t="shared" si="52"/>
        <v>4485</v>
      </c>
      <c r="S46" s="298">
        <f>+R46+R47</f>
        <v>7288</v>
      </c>
      <c r="T46" s="298">
        <f>+S46*0.3134</f>
        <v>2284.0592000000001</v>
      </c>
      <c r="U46" s="298">
        <f>+S46+T46</f>
        <v>9572.0591999999997</v>
      </c>
      <c r="V46" s="302"/>
      <c r="X46" s="252" t="str">
        <f t="shared" ref="X46" si="59">+A46</f>
        <v>Lacrosse - Boys</v>
      </c>
      <c r="Y46" s="252" t="str">
        <f t="shared" si="6"/>
        <v>Head Coach</v>
      </c>
      <c r="Z46" s="323">
        <f t="shared" si="7"/>
        <v>3874.1205794399998</v>
      </c>
      <c r="AA46" s="323">
        <f t="shared" si="8"/>
        <v>4620.6721192770256</v>
      </c>
    </row>
    <row r="47" spans="1:27" s="2" customFormat="1" ht="19.95" customHeight="1" thickBot="1" x14ac:dyDescent="0.35">
      <c r="A47" s="408"/>
      <c r="B47" s="413"/>
      <c r="C47" s="367" t="s">
        <v>56</v>
      </c>
      <c r="D47" s="304">
        <f t="shared" si="48"/>
        <v>5</v>
      </c>
      <c r="E47" s="317" t="s">
        <v>23</v>
      </c>
      <c r="F47" s="368"/>
      <c r="G47" s="402"/>
      <c r="H47" s="404"/>
      <c r="I47" s="348"/>
      <c r="J47" s="303">
        <f>IF(E47="A",'HS - Lane and Step Schedule'!B$7,IF(E47="B",'HS - Lane and Step Schedule'!D$7,IF(E47="C",'HS - Lane and Step Schedule'!F$7,IF(E47="D",'HS - Lane and Step Schedule'!H$7,IF(E47="E",'HS - Lane and Step Schedule'!J$7,IF(E47="F",'HS - Lane and Step Schedule'!L$7,IF(E47="G",'HS - Lane and Step Schedule'!N$7,IF(E47="H",'HS - Lane and Step Schedule'!P$7,IF(E47="I",'HS - Lane and Step Schedule'!R$7,IF(E47="J",'HS - Lane and Step Schedule'!T$7))))))))))</f>
        <v>6.1245000000000001E-2</v>
      </c>
      <c r="K47" s="308">
        <f t="shared" si="49"/>
        <v>2421.3253621499998</v>
      </c>
      <c r="L47" s="303">
        <f>IF(E47="A",'HS - Lane and Step Schedule'!B$16,IF(E47="B",'HS - Lane and Step Schedule'!D$16,IF(E47="C",'HS - Lane and Step Schedule'!F$16,IF(E47="D",'HS - Lane and Step Schedule'!H$16,IF(E47="E",'HS - Lane and Step Schedule'!J$16,IF(E47="F",'HS - Lane and Step Schedule'!L$16,IF(E47="G",'HS - Lane and Step Schedule'!N$16,IF(E47="H",'HS - Lane and Step Schedule'!P$16,IF(E47="I",'HS - Lane and Step Schedule'!R$16,IF(E47="J",'HS - Lane and Step Schedule'!T$16))))))))))</f>
        <v>7.0898743125000011E-2</v>
      </c>
      <c r="M47" s="308">
        <f t="shared" si="50"/>
        <v>2802.9867723588941</v>
      </c>
      <c r="N47" s="303">
        <f>IF(E47="A",'HS - Lane and Step Schedule'!B$25,IF(E47="B",'HS - Lane and Step Schedule'!D$25,IF(E47="C",'HS - Lane and Step Schedule'!F$25,IF(E47="D",'HS - Lane and Step Schedule'!H$25,IF(E47="E",'HS - Lane and Step Schedule'!J$25,IF(E47="F",'HS - Lane and Step Schedule'!L$25,IF(E47="G",'HS - Lane and Step Schedule'!N$25,IF(E47="H",'HS - Lane and Step Schedule'!P$25,IF(E47="I",'HS - Lane and Step Schedule'!R$25,IF(E47="J",'HS - Lane and Step Schedule'!T$25))))))))))</f>
        <v>7.3047045940430641E-2</v>
      </c>
      <c r="O47" s="308">
        <f t="shared" si="51"/>
        <v>2887.9200745481412</v>
      </c>
      <c r="P47" s="320">
        <f>3+2</f>
        <v>5</v>
      </c>
      <c r="Q47" s="305">
        <v>1</v>
      </c>
      <c r="R47" s="309">
        <f t="shared" si="52"/>
        <v>2803</v>
      </c>
      <c r="S47" s="309"/>
      <c r="T47" s="310"/>
      <c r="U47" s="310"/>
      <c r="V47" s="306"/>
      <c r="X47" s="252" t="str">
        <f t="shared" ref="X47" si="60">+A46</f>
        <v>Lacrosse - Boys</v>
      </c>
      <c r="Y47" s="252" t="str">
        <f t="shared" si="6"/>
        <v>Assistant Coach</v>
      </c>
      <c r="Z47" s="323">
        <f t="shared" si="7"/>
        <v>2421.3253621499998</v>
      </c>
      <c r="AA47" s="323">
        <f t="shared" si="8"/>
        <v>2887.9200745481412</v>
      </c>
    </row>
    <row r="48" spans="1:27" s="2" customFormat="1" ht="19.95" customHeight="1" x14ac:dyDescent="0.3">
      <c r="A48" s="407" t="s">
        <v>229</v>
      </c>
      <c r="B48" s="409">
        <f>+S48</f>
        <v>7288</v>
      </c>
      <c r="C48" s="365" t="s">
        <v>57</v>
      </c>
      <c r="D48" s="313">
        <f t="shared" si="48"/>
        <v>1</v>
      </c>
      <c r="E48" s="316" t="s">
        <v>22</v>
      </c>
      <c r="F48" s="366"/>
      <c r="G48" s="401" t="s">
        <v>124</v>
      </c>
      <c r="H48" s="403" t="s">
        <v>257</v>
      </c>
      <c r="I48" s="348"/>
      <c r="J48" s="297">
        <f>IF(E48="A",'HS - Lane and Step Schedule'!B$7,IF(E48="B",'HS - Lane and Step Schedule'!D$7,IF(E48="C",'HS - Lane and Step Schedule'!F$7,IF(E48="D",'HS - Lane and Step Schedule'!H$7,IF(E48="E",'HS - Lane and Step Schedule'!J$7,IF(E48="F",'HS - Lane and Step Schedule'!L$7,IF(E48="G",'HS - Lane and Step Schedule'!N$7,IF(E48="H",'HS - Lane and Step Schedule'!P$7,IF(E48="I",'HS - Lane and Step Schedule'!R$7,IF(E48="J",'HS - Lane and Step Schedule'!T$7))))))))))</f>
        <v>9.7991999999999996E-2</v>
      </c>
      <c r="K48" s="307">
        <f t="shared" si="49"/>
        <v>3874.1205794399998</v>
      </c>
      <c r="L48" s="297">
        <f>IF(E48="A",'HS - Lane and Step Schedule'!B$16,IF(E48="B",'HS - Lane and Step Schedule'!D$16,IF(E48="C",'HS - Lane and Step Schedule'!F$16,IF(E48="D",'HS - Lane and Step Schedule'!H$16,IF(E48="E",'HS - Lane and Step Schedule'!J$16,IF(E48="F",'HS - Lane and Step Schedule'!L$16,IF(E48="G",'HS - Lane and Step Schedule'!N$16,IF(E48="H",'HS - Lane and Step Schedule'!P$16,IF(E48="I",'HS - Lane and Step Schedule'!R$16,IF(E48="J",'HS - Lane and Step Schedule'!T$16))))))))))</f>
        <v>0.11343798900000002</v>
      </c>
      <c r="M48" s="307">
        <f t="shared" si="50"/>
        <v>4484.7788357742311</v>
      </c>
      <c r="N48" s="297">
        <f>IF(E48="A",'HS - Lane and Step Schedule'!B$25,IF(E48="B",'HS - Lane and Step Schedule'!D$25,IF(E48="C",'HS - Lane and Step Schedule'!F$25,IF(E48="D",'HS - Lane and Step Schedule'!H$25,IF(E48="E",'HS - Lane and Step Schedule'!J$25,IF(E48="F",'HS - Lane and Step Schedule'!L$25,IF(E48="G",'HS - Lane and Step Schedule'!N$25,IF(E48="H",'HS - Lane and Step Schedule'!P$25,IF(E48="I",'HS - Lane and Step Schedule'!R$25,IF(E48="J",'HS - Lane and Step Schedule'!T$25))))))))))</f>
        <v>0.11687527350468901</v>
      </c>
      <c r="O48" s="307">
        <f t="shared" si="51"/>
        <v>4620.6721192770256</v>
      </c>
      <c r="P48" s="319">
        <v>1</v>
      </c>
      <c r="Q48" s="296">
        <v>1</v>
      </c>
      <c r="R48" s="298">
        <f t="shared" si="52"/>
        <v>4485</v>
      </c>
      <c r="S48" s="298">
        <f>+R48+R49</f>
        <v>7288</v>
      </c>
      <c r="T48" s="298">
        <f>+S48*0.3134</f>
        <v>2284.0592000000001</v>
      </c>
      <c r="U48" s="298">
        <f>+S48+T48</f>
        <v>9572.0591999999997</v>
      </c>
      <c r="V48" s="302"/>
      <c r="X48" s="252" t="str">
        <f t="shared" ref="X48" si="61">+A48</f>
        <v>Lacrosse - Girls</v>
      </c>
      <c r="Y48" s="252" t="str">
        <f t="shared" si="6"/>
        <v>Head Coach</v>
      </c>
      <c r="Z48" s="323">
        <f t="shared" si="7"/>
        <v>3874.1205794399998</v>
      </c>
      <c r="AA48" s="323">
        <f t="shared" si="8"/>
        <v>4620.6721192770256</v>
      </c>
    </row>
    <row r="49" spans="1:27" s="2" customFormat="1" ht="19.95" customHeight="1" thickBot="1" x14ac:dyDescent="0.35">
      <c r="A49" s="408"/>
      <c r="B49" s="413"/>
      <c r="C49" s="367" t="s">
        <v>56</v>
      </c>
      <c r="D49" s="304">
        <f t="shared" si="48"/>
        <v>5</v>
      </c>
      <c r="E49" s="317" t="s">
        <v>23</v>
      </c>
      <c r="F49" s="368"/>
      <c r="G49" s="402"/>
      <c r="H49" s="404"/>
      <c r="I49" s="348"/>
      <c r="J49" s="303">
        <f>IF(E49="A",'HS - Lane and Step Schedule'!B$7,IF(E49="B",'HS - Lane and Step Schedule'!D$7,IF(E49="C",'HS - Lane and Step Schedule'!F$7,IF(E49="D",'HS - Lane and Step Schedule'!H$7,IF(E49="E",'HS - Lane and Step Schedule'!J$7,IF(E49="F",'HS - Lane and Step Schedule'!L$7,IF(E49="G",'HS - Lane and Step Schedule'!N$7,IF(E49="H",'HS - Lane and Step Schedule'!P$7,IF(E49="I",'HS - Lane and Step Schedule'!R$7,IF(E49="J",'HS - Lane and Step Schedule'!T$7))))))))))</f>
        <v>6.1245000000000001E-2</v>
      </c>
      <c r="K49" s="308">
        <f t="shared" si="49"/>
        <v>2421.3253621499998</v>
      </c>
      <c r="L49" s="303">
        <f>IF(E49="A",'HS - Lane and Step Schedule'!B$16,IF(E49="B",'HS - Lane and Step Schedule'!D$16,IF(E49="C",'HS - Lane and Step Schedule'!F$16,IF(E49="D",'HS - Lane and Step Schedule'!H$16,IF(E49="E",'HS - Lane and Step Schedule'!J$16,IF(E49="F",'HS - Lane and Step Schedule'!L$16,IF(E49="G",'HS - Lane and Step Schedule'!N$16,IF(E49="H",'HS - Lane and Step Schedule'!P$16,IF(E49="I",'HS - Lane and Step Schedule'!R$16,IF(E49="J",'HS - Lane and Step Schedule'!T$16))))))))))</f>
        <v>7.0898743125000011E-2</v>
      </c>
      <c r="M49" s="308">
        <f t="shared" si="50"/>
        <v>2802.9867723588941</v>
      </c>
      <c r="N49" s="303">
        <f>IF(E49="A",'HS - Lane and Step Schedule'!B$25,IF(E49="B",'HS - Lane and Step Schedule'!D$25,IF(E49="C",'HS - Lane and Step Schedule'!F$25,IF(E49="D",'HS - Lane and Step Schedule'!H$25,IF(E49="E",'HS - Lane and Step Schedule'!J$25,IF(E49="F",'HS - Lane and Step Schedule'!L$25,IF(E49="G",'HS - Lane and Step Schedule'!N$25,IF(E49="H",'HS - Lane and Step Schedule'!P$25,IF(E49="I",'HS - Lane and Step Schedule'!R$25,IF(E49="J",'HS - Lane and Step Schedule'!T$25))))))))))</f>
        <v>7.3047045940430641E-2</v>
      </c>
      <c r="O49" s="308">
        <f t="shared" si="51"/>
        <v>2887.9200745481412</v>
      </c>
      <c r="P49" s="320">
        <f>3+2</f>
        <v>5</v>
      </c>
      <c r="Q49" s="305">
        <v>1</v>
      </c>
      <c r="R49" s="309">
        <f t="shared" si="52"/>
        <v>2803</v>
      </c>
      <c r="S49" s="309"/>
      <c r="T49" s="310"/>
      <c r="U49" s="310"/>
      <c r="V49" s="306"/>
      <c r="X49" s="252" t="str">
        <f t="shared" ref="X49" si="62">+A48</f>
        <v>Lacrosse - Girls</v>
      </c>
      <c r="Y49" s="252" t="str">
        <f t="shared" si="6"/>
        <v>Assistant Coach</v>
      </c>
      <c r="Z49" s="323">
        <f t="shared" si="7"/>
        <v>2421.3253621499998</v>
      </c>
      <c r="AA49" s="323">
        <f t="shared" si="8"/>
        <v>2887.9200745481412</v>
      </c>
    </row>
    <row r="50" spans="1:27" s="2" customFormat="1" ht="19.95" customHeight="1" x14ac:dyDescent="0.3">
      <c r="A50" s="407" t="s">
        <v>196</v>
      </c>
      <c r="B50" s="409">
        <f>+S50</f>
        <v>6977</v>
      </c>
      <c r="C50" s="365" t="s">
        <v>58</v>
      </c>
      <c r="D50" s="313">
        <f t="shared" si="48"/>
        <v>1</v>
      </c>
      <c r="E50" s="316" t="s">
        <v>22</v>
      </c>
      <c r="F50" s="369"/>
      <c r="G50" s="401" t="s">
        <v>122</v>
      </c>
      <c r="H50" s="403" t="s">
        <v>259</v>
      </c>
      <c r="I50" s="348"/>
      <c r="J50" s="297">
        <f>IF(E50="A",'HS - Lane and Step Schedule'!B$7,IF(E50="B",'HS - Lane and Step Schedule'!D$7,IF(E50="C",'HS - Lane and Step Schedule'!F$7,IF(E50="D",'HS - Lane and Step Schedule'!H$7,IF(E50="E",'HS - Lane and Step Schedule'!J$7,IF(E50="F",'HS - Lane and Step Schedule'!L$7,IF(E50="G",'HS - Lane and Step Schedule'!N$7,IF(E50="H",'HS - Lane and Step Schedule'!P$7,IF(E50="I",'HS - Lane and Step Schedule'!R$7,IF(E50="J",'HS - Lane and Step Schedule'!T$7))))))))))</f>
        <v>9.7991999999999996E-2</v>
      </c>
      <c r="K50" s="307">
        <f t="shared" si="49"/>
        <v>3874.1205794399998</v>
      </c>
      <c r="L50" s="297">
        <f>IF(E50="A",'HS - Lane and Step Schedule'!B$16,IF(E50="B",'HS - Lane and Step Schedule'!D$16,IF(E50="C",'HS - Lane and Step Schedule'!F$16,IF(E50="D",'HS - Lane and Step Schedule'!H$16,IF(E50="E",'HS - Lane and Step Schedule'!J$16,IF(E50="F",'HS - Lane and Step Schedule'!L$16,IF(E50="G",'HS - Lane and Step Schedule'!N$16,IF(E50="H",'HS - Lane and Step Schedule'!P$16,IF(E50="I",'HS - Lane and Step Schedule'!R$16,IF(E50="J",'HS - Lane and Step Schedule'!T$16))))))))))</f>
        <v>0.11343798900000002</v>
      </c>
      <c r="M50" s="307">
        <f t="shared" si="50"/>
        <v>4484.7788357742311</v>
      </c>
      <c r="N50" s="297">
        <f>IF(E50="A",'HS - Lane and Step Schedule'!B$25,IF(E50="B",'HS - Lane and Step Schedule'!D$25,IF(E50="C",'HS - Lane and Step Schedule'!F$25,IF(E50="D",'HS - Lane and Step Schedule'!H$25,IF(E50="E",'HS - Lane and Step Schedule'!J$25,IF(E50="F",'HS - Lane and Step Schedule'!L$25,IF(E50="G",'HS - Lane and Step Schedule'!N$25,IF(E50="H",'HS - Lane and Step Schedule'!P$25,IF(E50="I",'HS - Lane and Step Schedule'!R$25,IF(E50="J",'HS - Lane and Step Schedule'!T$25))))))))))</f>
        <v>0.11687527350468901</v>
      </c>
      <c r="O50" s="307">
        <f t="shared" si="51"/>
        <v>4620.6721192770256</v>
      </c>
      <c r="P50" s="319">
        <v>1</v>
      </c>
      <c r="Q50" s="319">
        <v>1</v>
      </c>
      <c r="R50" s="298">
        <f t="shared" si="52"/>
        <v>4485</v>
      </c>
      <c r="S50" s="298">
        <f>+R50+R51</f>
        <v>6977</v>
      </c>
      <c r="T50" s="298">
        <f>+S50*0.3134</f>
        <v>2186.5918000000001</v>
      </c>
      <c r="U50" s="298">
        <f>+S50+T50</f>
        <v>9163.5918000000001</v>
      </c>
      <c r="V50" s="302"/>
      <c r="X50" s="252" t="str">
        <f t="shared" ref="X50" si="63">+A50</f>
        <v>Marching Band</v>
      </c>
      <c r="Y50" s="252" t="str">
        <f t="shared" si="6"/>
        <v>Head Advisor</v>
      </c>
      <c r="Z50" s="323">
        <f t="shared" si="7"/>
        <v>3874.1205794399998</v>
      </c>
      <c r="AA50" s="323">
        <f t="shared" si="8"/>
        <v>4620.6721192770256</v>
      </c>
    </row>
    <row r="51" spans="1:27" s="2" customFormat="1" ht="19.95" customHeight="1" thickBot="1" x14ac:dyDescent="0.35">
      <c r="A51" s="408"/>
      <c r="B51" s="413"/>
      <c r="C51" s="367" t="s">
        <v>59</v>
      </c>
      <c r="D51" s="304">
        <f t="shared" si="48"/>
        <v>2</v>
      </c>
      <c r="E51" s="374" t="s">
        <v>10</v>
      </c>
      <c r="F51" s="371" t="s">
        <v>243</v>
      </c>
      <c r="G51" s="402"/>
      <c r="H51" s="404"/>
      <c r="I51" s="348"/>
      <c r="J51" s="303">
        <f>IF(E51="A",'HS - Lane and Step Schedule'!B$7,IF(E51="B",'HS - Lane and Step Schedule'!D$7,IF(E51="C",'HS - Lane and Step Schedule'!F$7,IF(E51="D",'HS - Lane and Step Schedule'!H$7,IF(E51="E",'HS - Lane and Step Schedule'!J$7,IF(E51="F",'HS - Lane and Step Schedule'!L$7,IF(E51="G",'HS - Lane and Step Schedule'!N$7,IF(E51="H",'HS - Lane and Step Schedule'!P$7,IF(E51="I",'HS - Lane and Step Schedule'!R$7,IF(E51="J",'HS - Lane and Step Schedule'!T$7))))))))))</f>
        <v>5.4440000000000002E-2</v>
      </c>
      <c r="K51" s="308">
        <f t="shared" si="49"/>
        <v>2152.2892108000001</v>
      </c>
      <c r="L51" s="303">
        <f>IF(E51="A",'HS - Lane and Step Schedule'!B$16,IF(E51="B",'HS - Lane and Step Schedule'!D$16,IF(E51="C",'HS - Lane and Step Schedule'!F$16,IF(E51="D",'HS - Lane and Step Schedule'!H$16,IF(E51="E",'HS - Lane and Step Schedule'!J$16,IF(E51="F",'HS - Lane and Step Schedule'!L$16,IF(E51="G",'HS - Lane and Step Schedule'!N$16,IF(E51="H",'HS - Lane and Step Schedule'!P$16,IF(E51="I",'HS - Lane and Step Schedule'!R$16,IF(E51="J",'HS - Lane and Step Schedule'!T$16))))))))))</f>
        <v>6.3021105000000008E-2</v>
      </c>
      <c r="M51" s="308">
        <f t="shared" si="50"/>
        <v>2491.5437976523503</v>
      </c>
      <c r="N51" s="303">
        <f>IF(E51="A",'HS - Lane and Step Schedule'!B$25,IF(E51="B",'HS - Lane and Step Schedule'!D$25,IF(E51="C",'HS - Lane and Step Schedule'!F$25,IF(E51="D",'HS - Lane and Step Schedule'!H$25,IF(E51="E",'HS - Lane and Step Schedule'!J$25,IF(E51="F",'HS - Lane and Step Schedule'!L$25,IF(E51="G",'HS - Lane and Step Schedule'!N$25,IF(E51="H",'HS - Lane and Step Schedule'!P$25,IF(E51="I",'HS - Lane and Step Schedule'!R$25,IF(E51="J",'HS - Lane and Step Schedule'!T$25))))))))))</f>
        <v>6.4930707502605017E-2</v>
      </c>
      <c r="O51" s="308">
        <f t="shared" si="51"/>
        <v>2567.0400662650145</v>
      </c>
      <c r="P51" s="320">
        <v>2</v>
      </c>
      <c r="Q51" s="305">
        <v>1</v>
      </c>
      <c r="R51" s="309">
        <f t="shared" si="52"/>
        <v>2492</v>
      </c>
      <c r="S51" s="309"/>
      <c r="T51" s="310"/>
      <c r="U51" s="310"/>
      <c r="V51" s="306"/>
      <c r="X51" s="252" t="str">
        <f t="shared" ref="X51" si="64">+A50</f>
        <v>Marching Band</v>
      </c>
      <c r="Y51" s="252" t="str">
        <f t="shared" si="6"/>
        <v>Assistant Advisor</v>
      </c>
      <c r="Z51" s="323">
        <f t="shared" si="7"/>
        <v>2152.2892108000001</v>
      </c>
      <c r="AA51" s="323">
        <f t="shared" si="8"/>
        <v>2567.0400662650145</v>
      </c>
    </row>
    <row r="52" spans="1:27" ht="19.95" customHeight="1" x14ac:dyDescent="0.3">
      <c r="A52" s="407" t="s">
        <v>27</v>
      </c>
      <c r="B52" s="409">
        <f>+S52</f>
        <v>8097</v>
      </c>
      <c r="C52" s="365" t="s">
        <v>58</v>
      </c>
      <c r="D52" s="313">
        <f t="shared" si="48"/>
        <v>1</v>
      </c>
      <c r="E52" s="316" t="s">
        <v>4</v>
      </c>
      <c r="F52" s="366"/>
      <c r="G52" s="401" t="s">
        <v>255</v>
      </c>
      <c r="H52" s="403" t="s">
        <v>256</v>
      </c>
      <c r="I52" s="348"/>
      <c r="J52" s="297">
        <f>IF(E52="A",'HS - Lane and Step Schedule'!B$7,IF(E52="B",'HS - Lane and Step Schedule'!D$7,IF(E52="C",'HS - Lane and Step Schedule'!F$7,IF(E52="D",'HS - Lane and Step Schedule'!H$7,IF(E52="E",'HS - Lane and Step Schedule'!J$7,IF(E52="F",'HS - Lane and Step Schedule'!L$7,IF(E52="G",'HS - Lane and Step Schedule'!N$7,IF(E52="H",'HS - Lane and Step Schedule'!P$7,IF(E52="I",'HS - Lane and Step Schedule'!R$7,IF(E52="J",'HS - Lane and Step Schedule'!T$7))))))))))</f>
        <v>0.11024100000000001</v>
      </c>
      <c r="K52" s="307">
        <f t="shared" si="49"/>
        <v>4358.3856518700004</v>
      </c>
      <c r="L52" s="297">
        <f>IF(E52="A",'HS - Lane and Step Schedule'!B$16,IF(E52="B",'HS - Lane and Step Schedule'!D$16,IF(E52="C",'HS - Lane and Step Schedule'!F$16,IF(E52="D",'HS - Lane and Step Schedule'!H$16,IF(E52="E",'HS - Lane and Step Schedule'!J$16,IF(E52="F",'HS - Lane and Step Schedule'!L$16,IF(E52="G",'HS - Lane and Step Schedule'!N$16,IF(E52="H",'HS - Lane and Step Schedule'!P$16,IF(E52="I",'HS - Lane and Step Schedule'!R$16,IF(E52="J",'HS - Lane and Step Schedule'!T$16))))))))))</f>
        <v>0.12761773762500003</v>
      </c>
      <c r="M52" s="307">
        <f t="shared" si="50"/>
        <v>5045.3761902460101</v>
      </c>
      <c r="N52" s="297">
        <f>IF(E52="A",'HS - Lane and Step Schedule'!B$25,IF(E52="B",'HS - Lane and Step Schedule'!D$25,IF(E52="C",'HS - Lane and Step Schedule'!F$25,IF(E52="D",'HS - Lane and Step Schedule'!H$25,IF(E52="E",'HS - Lane and Step Schedule'!J$25,IF(E52="F",'HS - Lane and Step Schedule'!L$25,IF(E52="G",'HS - Lane and Step Schedule'!N$25,IF(E52="H",'HS - Lane and Step Schedule'!P$25,IF(E52="I",'HS - Lane and Step Schedule'!R$25,IF(E52="J",'HS - Lane and Step Schedule'!T$25))))))))))</f>
        <v>0.13148468269277513</v>
      </c>
      <c r="O52" s="307">
        <f t="shared" si="51"/>
        <v>5198.2561341866531</v>
      </c>
      <c r="P52" s="319">
        <v>1</v>
      </c>
      <c r="Q52" s="296">
        <v>1</v>
      </c>
      <c r="R52" s="298">
        <f t="shared" si="52"/>
        <v>5045</v>
      </c>
      <c r="S52" s="298">
        <f>+R52+R53</f>
        <v>8097</v>
      </c>
      <c r="T52" s="298">
        <f>+S52*0.3134</f>
        <v>2537.5998</v>
      </c>
      <c r="U52" s="298">
        <f>+S52+T52</f>
        <v>10634.5998</v>
      </c>
      <c r="V52" s="302"/>
      <c r="X52" s="252" t="str">
        <f t="shared" ref="X52" si="65">+A52</f>
        <v>Orchestra</v>
      </c>
      <c r="Y52" s="252" t="str">
        <f t="shared" si="6"/>
        <v>Head Advisor</v>
      </c>
      <c r="Z52" s="323">
        <f t="shared" si="7"/>
        <v>4358.3856518700004</v>
      </c>
      <c r="AA52" s="323">
        <f t="shared" si="8"/>
        <v>5198.2561341866531</v>
      </c>
    </row>
    <row r="53" spans="1:27" ht="19.95" customHeight="1" thickBot="1" x14ac:dyDescent="0.35">
      <c r="A53" s="408"/>
      <c r="B53" s="413"/>
      <c r="C53" s="367" t="s">
        <v>59</v>
      </c>
      <c r="D53" s="304">
        <f t="shared" si="48"/>
        <v>2</v>
      </c>
      <c r="E53" s="317" t="s">
        <v>5</v>
      </c>
      <c r="F53" s="368"/>
      <c r="G53" s="402"/>
      <c r="H53" s="404"/>
      <c r="I53" s="348"/>
      <c r="J53" s="303">
        <f>IF(E53="A",'HS - Lane and Step Schedule'!B$7,IF(E53="B",'HS - Lane and Step Schedule'!D$7,IF(E53="C",'HS - Lane and Step Schedule'!F$7,IF(E53="D",'HS - Lane and Step Schedule'!H$7,IF(E53="E",'HS - Lane and Step Schedule'!J$7,IF(E53="F",'HS - Lane and Step Schedule'!L$7,IF(E53="G",'HS - Lane and Step Schedule'!N$7,IF(E53="H",'HS - Lane and Step Schedule'!P$7,IF(E53="I",'HS - Lane and Step Schedule'!R$7,IF(E53="J",'HS - Lane and Step Schedule'!T$7))))))))))</f>
        <v>6.6688999999999998E-2</v>
      </c>
      <c r="K53" s="308">
        <f t="shared" si="49"/>
        <v>2636.5542832299998</v>
      </c>
      <c r="L53" s="303">
        <f>IF(E53="A",'HS - Lane and Step Schedule'!B$16,IF(E53="B",'HS - Lane and Step Schedule'!D$16,IF(E53="C",'HS - Lane and Step Schedule'!F$16,IF(E53="D",'HS - Lane and Step Schedule'!H$16,IF(E53="E",'HS - Lane and Step Schedule'!J$16,IF(E53="F",'HS - Lane and Step Schedule'!L$16,IF(E53="G",'HS - Lane and Step Schedule'!N$16,IF(E53="H",'HS - Lane and Step Schedule'!P$16,IF(E53="I",'HS - Lane and Step Schedule'!R$16,IF(E53="J",'HS - Lane and Step Schedule'!T$16))))))))))</f>
        <v>7.7200853624999996E-2</v>
      </c>
      <c r="M53" s="308">
        <f t="shared" si="50"/>
        <v>3052.1411521241284</v>
      </c>
      <c r="N53" s="303">
        <f>IF(E53="A",'HS - Lane and Step Schedule'!B$25,IF(E53="B",'HS - Lane and Step Schedule'!D$25,IF(E53="C",'HS - Lane and Step Schedule'!F$25,IF(E53="D",'HS - Lane and Step Schedule'!H$25,IF(E53="E",'HS - Lane and Step Schedule'!J$25,IF(E53="F",'HS - Lane and Step Schedule'!L$25,IF(E53="G",'HS - Lane and Step Schedule'!N$25,IF(E53="H",'HS - Lane and Step Schedule'!P$25,IF(E53="I",'HS - Lane and Step Schedule'!R$25,IF(E53="J",'HS - Lane and Step Schedule'!T$25))))))))))</f>
        <v>7.9540116690691137E-2</v>
      </c>
      <c r="O53" s="308">
        <f t="shared" si="51"/>
        <v>3144.6240811746425</v>
      </c>
      <c r="P53" s="320">
        <v>2</v>
      </c>
      <c r="Q53" s="305">
        <v>1</v>
      </c>
      <c r="R53" s="309">
        <f t="shared" si="52"/>
        <v>3052</v>
      </c>
      <c r="S53" s="309"/>
      <c r="T53" s="310"/>
      <c r="U53" s="310"/>
      <c r="V53" s="306"/>
      <c r="X53" s="252" t="str">
        <f t="shared" ref="X53" si="66">+A52</f>
        <v>Orchestra</v>
      </c>
      <c r="Y53" s="252" t="str">
        <f t="shared" si="6"/>
        <v>Assistant Advisor</v>
      </c>
      <c r="Z53" s="323">
        <f t="shared" si="7"/>
        <v>2636.5542832299998</v>
      </c>
      <c r="AA53" s="323">
        <f t="shared" si="8"/>
        <v>3144.6240811746425</v>
      </c>
    </row>
    <row r="54" spans="1:27" ht="19.95" customHeight="1" x14ac:dyDescent="0.3">
      <c r="A54" s="407" t="s">
        <v>26</v>
      </c>
      <c r="B54" s="409">
        <f>+S54</f>
        <v>2492</v>
      </c>
      <c r="C54" s="365" t="s">
        <v>58</v>
      </c>
      <c r="D54" s="313">
        <f t="shared" si="48"/>
        <v>1</v>
      </c>
      <c r="E54" s="316" t="s">
        <v>10</v>
      </c>
      <c r="F54" s="366"/>
      <c r="G54" s="401" t="s">
        <v>123</v>
      </c>
      <c r="H54" s="403" t="s">
        <v>258</v>
      </c>
      <c r="I54" s="348"/>
      <c r="J54" s="297">
        <f>IF(E54="A",'HS - Lane and Step Schedule'!B$7,IF(E54="B",'HS - Lane and Step Schedule'!D$7,IF(E54="C",'HS - Lane and Step Schedule'!F$7,IF(E54="D",'HS - Lane and Step Schedule'!H$7,IF(E54="E",'HS - Lane and Step Schedule'!J$7,IF(E54="F",'HS - Lane and Step Schedule'!L$7,IF(E54="G",'HS - Lane and Step Schedule'!N$7,IF(E54="H",'HS - Lane and Step Schedule'!P$7,IF(E54="I",'HS - Lane and Step Schedule'!R$7,IF(E54="J",'HS - Lane and Step Schedule'!T$7))))))))))</f>
        <v>5.4440000000000002E-2</v>
      </c>
      <c r="K54" s="307">
        <f t="shared" si="49"/>
        <v>2152.2892108000001</v>
      </c>
      <c r="L54" s="297">
        <f>IF(E54="A",'HS - Lane and Step Schedule'!B$16,IF(E54="B",'HS - Lane and Step Schedule'!D$16,IF(E54="C",'HS - Lane and Step Schedule'!F$16,IF(E54="D",'HS - Lane and Step Schedule'!H$16,IF(E54="E",'HS - Lane and Step Schedule'!J$16,IF(E54="F",'HS - Lane and Step Schedule'!L$16,IF(E54="G",'HS - Lane and Step Schedule'!N$16,IF(E54="H",'HS - Lane and Step Schedule'!P$16,IF(E54="I",'HS - Lane and Step Schedule'!R$16,IF(E54="J",'HS - Lane and Step Schedule'!T$16))))))))))</f>
        <v>6.3021105000000008E-2</v>
      </c>
      <c r="M54" s="307">
        <f t="shared" si="50"/>
        <v>2491.5437976523503</v>
      </c>
      <c r="N54" s="297">
        <f>IF(E54="A",'HS - Lane and Step Schedule'!B$25,IF(E54="B",'HS - Lane and Step Schedule'!D$25,IF(E54="C",'HS - Lane and Step Schedule'!F$25,IF(E54="D",'HS - Lane and Step Schedule'!H$25,IF(E54="E",'HS - Lane and Step Schedule'!J$25,IF(E54="F",'HS - Lane and Step Schedule'!L$25,IF(E54="G",'HS - Lane and Step Schedule'!N$25,IF(E54="H",'HS - Lane and Step Schedule'!P$25,IF(E54="I",'HS - Lane and Step Schedule'!R$25,IF(E54="J",'HS - Lane and Step Schedule'!T$25))))))))))</f>
        <v>6.4930707502605017E-2</v>
      </c>
      <c r="O54" s="307">
        <f t="shared" si="51"/>
        <v>2567.0400662650145</v>
      </c>
      <c r="P54" s="319">
        <v>1</v>
      </c>
      <c r="Q54" s="296">
        <v>1</v>
      </c>
      <c r="R54" s="298">
        <f t="shared" si="52"/>
        <v>2492</v>
      </c>
      <c r="S54" s="298">
        <f>+R54+R55</f>
        <v>2492</v>
      </c>
      <c r="T54" s="298">
        <f>+S54*0.3134</f>
        <v>780.99279999999999</v>
      </c>
      <c r="U54" s="298">
        <f>+S54+T54</f>
        <v>3272.9928</v>
      </c>
      <c r="V54" s="302"/>
      <c r="X54" s="252" t="str">
        <f t="shared" ref="X54" si="67">+A54</f>
        <v>Pep Band</v>
      </c>
      <c r="Y54" s="252" t="str">
        <f t="shared" si="6"/>
        <v>Head Advisor</v>
      </c>
      <c r="Z54" s="323">
        <f t="shared" si="7"/>
        <v>2152.2892108000001</v>
      </c>
      <c r="AA54" s="323">
        <f t="shared" si="8"/>
        <v>2567.0400662650145</v>
      </c>
    </row>
    <row r="55" spans="1:27" ht="19.95" customHeight="1" thickBot="1" x14ac:dyDescent="0.35">
      <c r="A55" s="408"/>
      <c r="B55" s="413"/>
      <c r="C55" s="367" t="s">
        <v>59</v>
      </c>
      <c r="D55" s="304">
        <f t="shared" si="48"/>
        <v>1</v>
      </c>
      <c r="E55" s="317" t="s">
        <v>78</v>
      </c>
      <c r="F55" s="368"/>
      <c r="G55" s="402"/>
      <c r="H55" s="404"/>
      <c r="I55" s="348"/>
      <c r="J55" s="303">
        <f>IF(E55="A",'HS - Lane and Step Schedule'!B$7,IF(E55="B",'HS - Lane and Step Schedule'!D$7,IF(E55="C",'HS - Lane and Step Schedule'!F$7,IF(E55="D",'HS - Lane and Step Schedule'!H$7,IF(E55="E",'HS - Lane and Step Schedule'!J$7,IF(E55="F",'HS - Lane and Step Schedule'!L$7,IF(E55="G",'HS - Lane and Step Schedule'!N$7,IF(E55="H",'HS - Lane and Step Schedule'!P$7,IF(E55="I",'HS - Lane and Step Schedule'!R$7,IF(E55="J",'HS - Lane and Step Schedule'!T$7))))))))))</f>
        <v>2.5859E-2</v>
      </c>
      <c r="K55" s="308">
        <f t="shared" si="49"/>
        <v>1022.3373751299999</v>
      </c>
      <c r="L55" s="303">
        <f>IF(E55="A",'HS - Lane and Step Schedule'!B$16,IF(E55="B",'HS - Lane and Step Schedule'!D$16,IF(E55="C",'HS - Lane and Step Schedule'!F$16,IF(E55="D",'HS - Lane and Step Schedule'!H$16,IF(E55="E",'HS - Lane and Step Schedule'!J$16,IF(E55="F",'HS - Lane and Step Schedule'!L$16,IF(E55="G",'HS - Lane and Step Schedule'!N$16,IF(E55="H",'HS - Lane and Step Schedule'!P$16,IF(E55="I",'HS - Lane and Step Schedule'!R$16,IF(E55="J",'HS - Lane and Step Schedule'!T$16))))))))))</f>
        <v>2.9935024875000004E-2</v>
      </c>
      <c r="M55" s="308">
        <f t="shared" si="50"/>
        <v>1183.4833038848665</v>
      </c>
      <c r="N55" s="303">
        <f>IF(E55="A",'HS - Lane and Step Schedule'!B$25,IF(E55="B",'HS - Lane and Step Schedule'!D$25,IF(E55="C",'HS - Lane and Step Schedule'!F$25,IF(E55="D",'HS - Lane and Step Schedule'!H$25,IF(E55="E",'HS - Lane and Step Schedule'!J$25,IF(E55="F",'HS - Lane and Step Schedule'!L$25,IF(E55="G",'HS - Lane and Step Schedule'!N$25,IF(E55="H",'HS - Lane and Step Schedule'!P$25,IF(E55="I",'HS - Lane and Step Schedule'!R$25,IF(E55="J",'HS - Lane and Step Schedule'!T$25))))))))))</f>
        <v>3.0842086063737378E-2</v>
      </c>
      <c r="O55" s="308">
        <f t="shared" si="51"/>
        <v>1219.3440314758816</v>
      </c>
      <c r="P55" s="320">
        <v>1</v>
      </c>
      <c r="Q55" s="305">
        <v>0</v>
      </c>
      <c r="R55" s="309">
        <f t="shared" si="52"/>
        <v>0</v>
      </c>
      <c r="S55" s="309"/>
      <c r="T55" s="310"/>
      <c r="U55" s="310"/>
      <c r="V55" s="306"/>
      <c r="X55" s="252" t="str">
        <f t="shared" ref="X55" si="68">+A54</f>
        <v>Pep Band</v>
      </c>
      <c r="Y55" s="252" t="str">
        <f t="shared" si="6"/>
        <v>Assistant Advisor</v>
      </c>
      <c r="Z55" s="323">
        <f t="shared" si="7"/>
        <v>1022.3373751299999</v>
      </c>
      <c r="AA55" s="323">
        <f t="shared" si="8"/>
        <v>1219.3440314758816</v>
      </c>
    </row>
    <row r="56" spans="1:27" ht="19.95" customHeight="1" x14ac:dyDescent="0.3">
      <c r="A56" s="407" t="s">
        <v>18</v>
      </c>
      <c r="B56" s="409">
        <f>+S56</f>
        <v>11492</v>
      </c>
      <c r="C56" s="365" t="s">
        <v>57</v>
      </c>
      <c r="D56" s="313">
        <f t="shared" si="48"/>
        <v>1</v>
      </c>
      <c r="E56" s="316" t="s">
        <v>22</v>
      </c>
      <c r="F56" s="366"/>
      <c r="G56" s="401" t="s">
        <v>124</v>
      </c>
      <c r="H56" s="403" t="s">
        <v>257</v>
      </c>
      <c r="I56" s="348"/>
      <c r="J56" s="297">
        <f>IF(E56="A",'HS - Lane and Step Schedule'!B$7,IF(E56="B",'HS - Lane and Step Schedule'!D$7,IF(E56="C",'HS - Lane and Step Schedule'!F$7,IF(E56="D",'HS - Lane and Step Schedule'!H$7,IF(E56="E",'HS - Lane and Step Schedule'!J$7,IF(E56="F",'HS - Lane and Step Schedule'!L$7,IF(E56="G",'HS - Lane and Step Schedule'!N$7,IF(E56="H",'HS - Lane and Step Schedule'!P$7,IF(E56="I",'HS - Lane and Step Schedule'!R$7,IF(E56="J",'HS - Lane and Step Schedule'!T$7))))))))))</f>
        <v>9.7991999999999996E-2</v>
      </c>
      <c r="K56" s="307">
        <f t="shared" si="49"/>
        <v>3874.1205794399998</v>
      </c>
      <c r="L56" s="297">
        <f>IF(E56="A",'HS - Lane and Step Schedule'!B$16,IF(E56="B",'HS - Lane and Step Schedule'!D$16,IF(E56="C",'HS - Lane and Step Schedule'!F$16,IF(E56="D",'HS - Lane and Step Schedule'!H$16,IF(E56="E",'HS - Lane and Step Schedule'!J$16,IF(E56="F",'HS - Lane and Step Schedule'!L$16,IF(E56="G",'HS - Lane and Step Schedule'!N$16,IF(E56="H",'HS - Lane and Step Schedule'!P$16,IF(E56="I",'HS - Lane and Step Schedule'!R$16,IF(E56="J",'HS - Lane and Step Schedule'!T$16))))))))))</f>
        <v>0.11343798900000002</v>
      </c>
      <c r="M56" s="307">
        <f t="shared" si="50"/>
        <v>4484.7788357742311</v>
      </c>
      <c r="N56" s="297">
        <f>IF(E56="A",'HS - Lane and Step Schedule'!B$25,IF(E56="B",'HS - Lane and Step Schedule'!D$25,IF(E56="C",'HS - Lane and Step Schedule'!F$25,IF(E56="D",'HS - Lane and Step Schedule'!H$25,IF(E56="E",'HS - Lane and Step Schedule'!J$25,IF(E56="F",'HS - Lane and Step Schedule'!L$25,IF(E56="G",'HS - Lane and Step Schedule'!N$25,IF(E56="H",'HS - Lane and Step Schedule'!P$25,IF(E56="I",'HS - Lane and Step Schedule'!R$25,IF(E56="J",'HS - Lane and Step Schedule'!T$25))))))))))</f>
        <v>0.11687527350468901</v>
      </c>
      <c r="O56" s="307">
        <f t="shared" si="51"/>
        <v>4620.6721192770256</v>
      </c>
      <c r="P56" s="319">
        <v>1</v>
      </c>
      <c r="Q56" s="296">
        <v>1</v>
      </c>
      <c r="R56" s="298">
        <f t="shared" si="52"/>
        <v>4485</v>
      </c>
      <c r="S56" s="298">
        <f>+R56+R57</f>
        <v>11492</v>
      </c>
      <c r="T56" s="298">
        <f>+S56*0.3134</f>
        <v>3601.5928000000004</v>
      </c>
      <c r="U56" s="298">
        <f>+S56+T56</f>
        <v>15093.5928</v>
      </c>
      <c r="V56" s="302"/>
      <c r="X56" s="252" t="str">
        <f t="shared" ref="X56" si="69">+A56</f>
        <v>Soccer - Boys</v>
      </c>
      <c r="Y56" s="252" t="str">
        <f t="shared" si="6"/>
        <v>Head Coach</v>
      </c>
      <c r="Z56" s="323">
        <f t="shared" si="7"/>
        <v>3874.1205794399998</v>
      </c>
      <c r="AA56" s="323">
        <f t="shared" si="8"/>
        <v>4620.6721192770256</v>
      </c>
    </row>
    <row r="57" spans="1:27" ht="19.95" customHeight="1" thickBot="1" x14ac:dyDescent="0.35">
      <c r="A57" s="408"/>
      <c r="B57" s="413"/>
      <c r="C57" s="367" t="s">
        <v>56</v>
      </c>
      <c r="D57" s="304">
        <f t="shared" si="48"/>
        <v>6</v>
      </c>
      <c r="E57" s="317" t="s">
        <v>23</v>
      </c>
      <c r="F57" s="368"/>
      <c r="G57" s="402"/>
      <c r="H57" s="404"/>
      <c r="I57" s="348"/>
      <c r="J57" s="303">
        <f>IF(E57="A",'HS - Lane and Step Schedule'!B$7,IF(E57="B",'HS - Lane and Step Schedule'!D$7,IF(E57="C",'HS - Lane and Step Schedule'!F$7,IF(E57="D",'HS - Lane and Step Schedule'!H$7,IF(E57="E",'HS - Lane and Step Schedule'!J$7,IF(E57="F",'HS - Lane and Step Schedule'!L$7,IF(E57="G",'HS - Lane and Step Schedule'!N$7,IF(E57="H",'HS - Lane and Step Schedule'!P$7,IF(E57="I",'HS - Lane and Step Schedule'!R$7,IF(E57="J",'HS - Lane and Step Schedule'!T$7))))))))))</f>
        <v>6.1245000000000001E-2</v>
      </c>
      <c r="K57" s="308">
        <f t="shared" si="49"/>
        <v>2421.3253621499998</v>
      </c>
      <c r="L57" s="303">
        <f>IF(E57="A",'HS - Lane and Step Schedule'!B$16,IF(E57="B",'HS - Lane and Step Schedule'!D$16,IF(E57="C",'HS - Lane and Step Schedule'!F$16,IF(E57="D",'HS - Lane and Step Schedule'!H$16,IF(E57="E",'HS - Lane and Step Schedule'!J$16,IF(E57="F",'HS - Lane and Step Schedule'!L$16,IF(E57="G",'HS - Lane and Step Schedule'!N$16,IF(E57="H",'HS - Lane and Step Schedule'!P$16,IF(E57="I",'HS - Lane and Step Schedule'!R$16,IF(E57="J",'HS - Lane and Step Schedule'!T$16))))))))))</f>
        <v>7.0898743125000011E-2</v>
      </c>
      <c r="M57" s="308">
        <f t="shared" si="50"/>
        <v>2802.9867723588941</v>
      </c>
      <c r="N57" s="303">
        <f>IF(E57="A",'HS - Lane and Step Schedule'!B$25,IF(E57="B",'HS - Lane and Step Schedule'!D$25,IF(E57="C",'HS - Lane and Step Schedule'!F$25,IF(E57="D",'HS - Lane and Step Schedule'!H$25,IF(E57="E",'HS - Lane and Step Schedule'!J$25,IF(E57="F",'HS - Lane and Step Schedule'!L$25,IF(E57="G",'HS - Lane and Step Schedule'!N$25,IF(E57="H",'HS - Lane and Step Schedule'!P$25,IF(E57="I",'HS - Lane and Step Schedule'!R$25,IF(E57="J",'HS - Lane and Step Schedule'!T$25))))))))))</f>
        <v>7.3047045940430641E-2</v>
      </c>
      <c r="O57" s="308">
        <f t="shared" si="51"/>
        <v>2887.9200745481412</v>
      </c>
      <c r="P57" s="320">
        <v>6</v>
      </c>
      <c r="Q57" s="305">
        <v>2.5</v>
      </c>
      <c r="R57" s="309">
        <f t="shared" si="52"/>
        <v>7007</v>
      </c>
      <c r="S57" s="309"/>
      <c r="T57" s="310"/>
      <c r="U57" s="310"/>
      <c r="V57" s="306"/>
      <c r="X57" s="252" t="str">
        <f t="shared" ref="X57" si="70">+A56</f>
        <v>Soccer - Boys</v>
      </c>
      <c r="Y57" s="252" t="str">
        <f t="shared" si="6"/>
        <v>Assistant Coach</v>
      </c>
      <c r="Z57" s="323">
        <f t="shared" si="7"/>
        <v>2421.3253621499998</v>
      </c>
      <c r="AA57" s="323">
        <f t="shared" si="8"/>
        <v>2887.9200745481412</v>
      </c>
    </row>
    <row r="58" spans="1:27" ht="19.95" customHeight="1" x14ac:dyDescent="0.3">
      <c r="A58" s="407" t="s">
        <v>19</v>
      </c>
      <c r="B58" s="409">
        <f>+S58</f>
        <v>11492</v>
      </c>
      <c r="C58" s="365" t="s">
        <v>57</v>
      </c>
      <c r="D58" s="313">
        <f t="shared" si="48"/>
        <v>1</v>
      </c>
      <c r="E58" s="316" t="s">
        <v>22</v>
      </c>
      <c r="F58" s="366"/>
      <c r="G58" s="401" t="s">
        <v>122</v>
      </c>
      <c r="H58" s="403" t="s">
        <v>259</v>
      </c>
      <c r="I58" s="348"/>
      <c r="J58" s="297">
        <f>IF(E58="A",'HS - Lane and Step Schedule'!B$7,IF(E58="B",'HS - Lane and Step Schedule'!D$7,IF(E58="C",'HS - Lane and Step Schedule'!F$7,IF(E58="D",'HS - Lane and Step Schedule'!H$7,IF(E58="E",'HS - Lane and Step Schedule'!J$7,IF(E58="F",'HS - Lane and Step Schedule'!L$7,IF(E58="G",'HS - Lane and Step Schedule'!N$7,IF(E58="H",'HS - Lane and Step Schedule'!P$7,IF(E58="I",'HS - Lane and Step Schedule'!R$7,IF(E58="J",'HS - Lane and Step Schedule'!T$7))))))))))</f>
        <v>9.7991999999999996E-2</v>
      </c>
      <c r="K58" s="307">
        <f t="shared" si="49"/>
        <v>3874.1205794399998</v>
      </c>
      <c r="L58" s="297">
        <f>IF(E58="A",'HS - Lane and Step Schedule'!B$16,IF(E58="B",'HS - Lane and Step Schedule'!D$16,IF(E58="C",'HS - Lane and Step Schedule'!F$16,IF(E58="D",'HS - Lane and Step Schedule'!H$16,IF(E58="E",'HS - Lane and Step Schedule'!J$16,IF(E58="F",'HS - Lane and Step Schedule'!L$16,IF(E58="G",'HS - Lane and Step Schedule'!N$16,IF(E58="H",'HS - Lane and Step Schedule'!P$16,IF(E58="I",'HS - Lane and Step Schedule'!R$16,IF(E58="J",'HS - Lane and Step Schedule'!T$16))))))))))</f>
        <v>0.11343798900000002</v>
      </c>
      <c r="M58" s="307">
        <f t="shared" si="50"/>
        <v>4484.7788357742311</v>
      </c>
      <c r="N58" s="297">
        <f>IF(E58="A",'HS - Lane and Step Schedule'!B$25,IF(E58="B",'HS - Lane and Step Schedule'!D$25,IF(E58="C",'HS - Lane and Step Schedule'!F$25,IF(E58="D",'HS - Lane and Step Schedule'!H$25,IF(E58="E",'HS - Lane and Step Schedule'!J$25,IF(E58="F",'HS - Lane and Step Schedule'!L$25,IF(E58="G",'HS - Lane and Step Schedule'!N$25,IF(E58="H",'HS - Lane and Step Schedule'!P$25,IF(E58="I",'HS - Lane and Step Schedule'!R$25,IF(E58="J",'HS - Lane and Step Schedule'!T$25))))))))))</f>
        <v>0.11687527350468901</v>
      </c>
      <c r="O58" s="307">
        <f t="shared" si="51"/>
        <v>4620.6721192770256</v>
      </c>
      <c r="P58" s="319">
        <v>1</v>
      </c>
      <c r="Q58" s="296">
        <v>1</v>
      </c>
      <c r="R58" s="298">
        <f t="shared" si="52"/>
        <v>4485</v>
      </c>
      <c r="S58" s="298">
        <f>+R58+R59</f>
        <v>11492</v>
      </c>
      <c r="T58" s="298">
        <f>+S58*0.3134</f>
        <v>3601.5928000000004</v>
      </c>
      <c r="U58" s="298">
        <f>+S58+T58</f>
        <v>15093.5928</v>
      </c>
      <c r="V58" s="302"/>
      <c r="X58" s="252" t="str">
        <f t="shared" ref="X58" si="71">+A58</f>
        <v>Soccer - Girls</v>
      </c>
      <c r="Y58" s="252" t="str">
        <f t="shared" si="6"/>
        <v>Head Coach</v>
      </c>
      <c r="Z58" s="323">
        <f t="shared" si="7"/>
        <v>3874.1205794399998</v>
      </c>
      <c r="AA58" s="323">
        <f t="shared" si="8"/>
        <v>4620.6721192770256</v>
      </c>
    </row>
    <row r="59" spans="1:27" ht="19.95" customHeight="1" thickBot="1" x14ac:dyDescent="0.35">
      <c r="A59" s="408"/>
      <c r="B59" s="413"/>
      <c r="C59" s="367" t="s">
        <v>56</v>
      </c>
      <c r="D59" s="304">
        <f t="shared" si="48"/>
        <v>6</v>
      </c>
      <c r="E59" s="317" t="s">
        <v>23</v>
      </c>
      <c r="F59" s="368"/>
      <c r="G59" s="402"/>
      <c r="H59" s="404"/>
      <c r="I59" s="348"/>
      <c r="J59" s="303">
        <f>IF(E59="A",'HS - Lane and Step Schedule'!B$7,IF(E59="B",'HS - Lane and Step Schedule'!D$7,IF(E59="C",'HS - Lane and Step Schedule'!F$7,IF(E59="D",'HS - Lane and Step Schedule'!H$7,IF(E59="E",'HS - Lane and Step Schedule'!J$7,IF(E59="F",'HS - Lane and Step Schedule'!L$7,IF(E59="G",'HS - Lane and Step Schedule'!N$7,IF(E59="H",'HS - Lane and Step Schedule'!P$7,IF(E59="I",'HS - Lane and Step Schedule'!R$7,IF(E59="J",'HS - Lane and Step Schedule'!T$7))))))))))</f>
        <v>6.1245000000000001E-2</v>
      </c>
      <c r="K59" s="308">
        <f t="shared" si="49"/>
        <v>2421.3253621499998</v>
      </c>
      <c r="L59" s="303">
        <f>IF(E59="A",'HS - Lane and Step Schedule'!B$16,IF(E59="B",'HS - Lane and Step Schedule'!D$16,IF(E59="C",'HS - Lane and Step Schedule'!F$16,IF(E59="D",'HS - Lane and Step Schedule'!H$16,IF(E59="E",'HS - Lane and Step Schedule'!J$16,IF(E59="F",'HS - Lane and Step Schedule'!L$16,IF(E59="G",'HS - Lane and Step Schedule'!N$16,IF(E59="H",'HS - Lane and Step Schedule'!P$16,IF(E59="I",'HS - Lane and Step Schedule'!R$16,IF(E59="J",'HS - Lane and Step Schedule'!T$16))))))))))</f>
        <v>7.0898743125000011E-2</v>
      </c>
      <c r="M59" s="308">
        <f t="shared" si="50"/>
        <v>2802.9867723588941</v>
      </c>
      <c r="N59" s="303">
        <f>IF(E59="A",'HS - Lane and Step Schedule'!B$25,IF(E59="B",'HS - Lane and Step Schedule'!D$25,IF(E59="C",'HS - Lane and Step Schedule'!F$25,IF(E59="D",'HS - Lane and Step Schedule'!H$25,IF(E59="E",'HS - Lane and Step Schedule'!J$25,IF(E59="F",'HS - Lane and Step Schedule'!L$25,IF(E59="G",'HS - Lane and Step Schedule'!N$25,IF(E59="H",'HS - Lane and Step Schedule'!P$25,IF(E59="I",'HS - Lane and Step Schedule'!R$25,IF(E59="J",'HS - Lane and Step Schedule'!T$25))))))))))</f>
        <v>7.3047045940430641E-2</v>
      </c>
      <c r="O59" s="308">
        <f t="shared" si="51"/>
        <v>2887.9200745481412</v>
      </c>
      <c r="P59" s="320">
        <v>6</v>
      </c>
      <c r="Q59" s="305">
        <v>2.5</v>
      </c>
      <c r="R59" s="309">
        <f t="shared" si="52"/>
        <v>7007</v>
      </c>
      <c r="S59" s="309"/>
      <c r="T59" s="310"/>
      <c r="U59" s="310"/>
      <c r="V59" s="306"/>
      <c r="X59" s="252" t="str">
        <f t="shared" ref="X59" si="72">+A58</f>
        <v>Soccer - Girls</v>
      </c>
      <c r="Y59" s="252" t="str">
        <f t="shared" si="6"/>
        <v>Assistant Coach</v>
      </c>
      <c r="Z59" s="323">
        <f t="shared" si="7"/>
        <v>2421.3253621499998</v>
      </c>
      <c r="AA59" s="323">
        <f t="shared" si="8"/>
        <v>2887.9200745481412</v>
      </c>
    </row>
    <row r="60" spans="1:27" ht="19.95" customHeight="1" x14ac:dyDescent="0.3">
      <c r="A60" s="407" t="s">
        <v>20</v>
      </c>
      <c r="B60" s="409">
        <f>+S60</f>
        <v>12894</v>
      </c>
      <c r="C60" s="365" t="s">
        <v>57</v>
      </c>
      <c r="D60" s="313">
        <f t="shared" si="48"/>
        <v>1</v>
      </c>
      <c r="E60" s="316" t="s">
        <v>22</v>
      </c>
      <c r="F60" s="366"/>
      <c r="G60" s="401" t="s">
        <v>124</v>
      </c>
      <c r="H60" s="403" t="s">
        <v>257</v>
      </c>
      <c r="I60" s="348"/>
      <c r="J60" s="297">
        <f>IF(E60="A",'HS - Lane and Step Schedule'!B$7,IF(E60="B",'HS - Lane and Step Schedule'!D$7,IF(E60="C",'HS - Lane and Step Schedule'!F$7,IF(E60="D",'HS - Lane and Step Schedule'!H$7,IF(E60="E",'HS - Lane and Step Schedule'!J$7,IF(E60="F",'HS - Lane and Step Schedule'!L$7,IF(E60="G",'HS - Lane and Step Schedule'!N$7,IF(E60="H",'HS - Lane and Step Schedule'!P$7,IF(E60="I",'HS - Lane and Step Schedule'!R$7,IF(E60="J",'HS - Lane and Step Schedule'!T$7))))))))))</f>
        <v>9.7991999999999996E-2</v>
      </c>
      <c r="K60" s="307">
        <f t="shared" si="49"/>
        <v>3874.1205794399998</v>
      </c>
      <c r="L60" s="297">
        <f>IF(E60="A",'HS - Lane and Step Schedule'!B$16,IF(E60="B",'HS - Lane and Step Schedule'!D$16,IF(E60="C",'HS - Lane and Step Schedule'!F$16,IF(E60="D",'HS - Lane and Step Schedule'!H$16,IF(E60="E",'HS - Lane and Step Schedule'!J$16,IF(E60="F",'HS - Lane and Step Schedule'!L$16,IF(E60="G",'HS - Lane and Step Schedule'!N$16,IF(E60="H",'HS - Lane and Step Schedule'!P$16,IF(E60="I",'HS - Lane and Step Schedule'!R$16,IF(E60="J",'HS - Lane and Step Schedule'!T$16))))))))))</f>
        <v>0.11343798900000002</v>
      </c>
      <c r="M60" s="307">
        <f t="shared" si="50"/>
        <v>4484.7788357742311</v>
      </c>
      <c r="N60" s="297">
        <f>IF(E60="A",'HS - Lane and Step Schedule'!B$25,IF(E60="B",'HS - Lane and Step Schedule'!D$25,IF(E60="C",'HS - Lane and Step Schedule'!F$25,IF(E60="D",'HS - Lane and Step Schedule'!H$25,IF(E60="E",'HS - Lane and Step Schedule'!J$25,IF(E60="F",'HS - Lane and Step Schedule'!L$25,IF(E60="G",'HS - Lane and Step Schedule'!N$25,IF(E60="H",'HS - Lane and Step Schedule'!P$25,IF(E60="I",'HS - Lane and Step Schedule'!R$25,IF(E60="J",'HS - Lane and Step Schedule'!T$25))))))))))</f>
        <v>0.11687527350468901</v>
      </c>
      <c r="O60" s="307">
        <f t="shared" si="51"/>
        <v>4620.6721192770256</v>
      </c>
      <c r="P60" s="319">
        <v>1</v>
      </c>
      <c r="Q60" s="296">
        <v>1</v>
      </c>
      <c r="R60" s="298">
        <f t="shared" si="52"/>
        <v>4485</v>
      </c>
      <c r="S60" s="298">
        <f>+R60+R61</f>
        <v>12894</v>
      </c>
      <c r="T60" s="298">
        <f>+S60*0.3134</f>
        <v>4040.9796000000001</v>
      </c>
      <c r="U60" s="298">
        <f>+S60+T60</f>
        <v>16934.979599999999</v>
      </c>
      <c r="V60" s="302"/>
      <c r="X60" s="252" t="str">
        <f t="shared" ref="X60" si="73">+A60</f>
        <v>Softball</v>
      </c>
      <c r="Y60" s="252" t="str">
        <f t="shared" si="6"/>
        <v>Head Coach</v>
      </c>
      <c r="Z60" s="323">
        <f t="shared" si="7"/>
        <v>3874.1205794399998</v>
      </c>
      <c r="AA60" s="323">
        <f t="shared" si="8"/>
        <v>4620.6721192770256</v>
      </c>
    </row>
    <row r="61" spans="1:27" ht="19.95" customHeight="1" thickBot="1" x14ac:dyDescent="0.35">
      <c r="A61" s="408"/>
      <c r="B61" s="413"/>
      <c r="C61" s="367" t="s">
        <v>56</v>
      </c>
      <c r="D61" s="304">
        <f t="shared" si="48"/>
        <v>6</v>
      </c>
      <c r="E61" s="317" t="s">
        <v>23</v>
      </c>
      <c r="F61" s="368"/>
      <c r="G61" s="402"/>
      <c r="H61" s="404"/>
      <c r="I61" s="348"/>
      <c r="J61" s="303">
        <f>IF(E61="A",'HS - Lane and Step Schedule'!B$7,IF(E61="B",'HS - Lane and Step Schedule'!D$7,IF(E61="C",'HS - Lane and Step Schedule'!F$7,IF(E61="D",'HS - Lane and Step Schedule'!H$7,IF(E61="E",'HS - Lane and Step Schedule'!J$7,IF(E61="F",'HS - Lane and Step Schedule'!L$7,IF(E61="G",'HS - Lane and Step Schedule'!N$7,IF(E61="H",'HS - Lane and Step Schedule'!P$7,IF(E61="I",'HS - Lane and Step Schedule'!R$7,IF(E61="J",'HS - Lane and Step Schedule'!T$7))))))))))</f>
        <v>6.1245000000000001E-2</v>
      </c>
      <c r="K61" s="308">
        <f t="shared" si="49"/>
        <v>2421.3253621499998</v>
      </c>
      <c r="L61" s="303">
        <f>IF(E61="A",'HS - Lane and Step Schedule'!B$16,IF(E61="B",'HS - Lane and Step Schedule'!D$16,IF(E61="C",'HS - Lane and Step Schedule'!F$16,IF(E61="D",'HS - Lane and Step Schedule'!H$16,IF(E61="E",'HS - Lane and Step Schedule'!J$16,IF(E61="F",'HS - Lane and Step Schedule'!L$16,IF(E61="G",'HS - Lane and Step Schedule'!N$16,IF(E61="H",'HS - Lane and Step Schedule'!P$16,IF(E61="I",'HS - Lane and Step Schedule'!R$16,IF(E61="J",'HS - Lane and Step Schedule'!T$16))))))))))</f>
        <v>7.0898743125000011E-2</v>
      </c>
      <c r="M61" s="308">
        <f t="shared" si="50"/>
        <v>2802.9867723588941</v>
      </c>
      <c r="N61" s="303">
        <f>IF(E61="A",'HS - Lane and Step Schedule'!B$25,IF(E61="B",'HS - Lane and Step Schedule'!D$25,IF(E61="C",'HS - Lane and Step Schedule'!F$25,IF(E61="D",'HS - Lane and Step Schedule'!H$25,IF(E61="E",'HS - Lane and Step Schedule'!J$25,IF(E61="F",'HS - Lane and Step Schedule'!L$25,IF(E61="G",'HS - Lane and Step Schedule'!N$25,IF(E61="H",'HS - Lane and Step Schedule'!P$25,IF(E61="I",'HS - Lane and Step Schedule'!R$25,IF(E61="J",'HS - Lane and Step Schedule'!T$25))))))))))</f>
        <v>7.3047045940430641E-2</v>
      </c>
      <c r="O61" s="308">
        <f t="shared" si="51"/>
        <v>2887.9200745481412</v>
      </c>
      <c r="P61" s="320">
        <v>6</v>
      </c>
      <c r="Q61" s="305">
        <v>3</v>
      </c>
      <c r="R61" s="309">
        <f t="shared" si="52"/>
        <v>8409</v>
      </c>
      <c r="S61" s="309"/>
      <c r="T61" s="310"/>
      <c r="U61" s="310"/>
      <c r="V61" s="306"/>
      <c r="X61" s="252" t="str">
        <f t="shared" ref="X61" si="74">+A60</f>
        <v>Softball</v>
      </c>
      <c r="Y61" s="252" t="str">
        <f t="shared" si="6"/>
        <v>Assistant Coach</v>
      </c>
      <c r="Z61" s="323">
        <f t="shared" si="7"/>
        <v>2421.3253621499998</v>
      </c>
      <c r="AA61" s="323">
        <f t="shared" si="8"/>
        <v>2887.9200745481412</v>
      </c>
    </row>
    <row r="62" spans="1:27" ht="19.95" customHeight="1" x14ac:dyDescent="0.3">
      <c r="A62" s="407" t="s">
        <v>32</v>
      </c>
      <c r="B62" s="409">
        <f>+S62</f>
        <v>7288</v>
      </c>
      <c r="C62" s="365" t="s">
        <v>58</v>
      </c>
      <c r="D62" s="313">
        <f t="shared" si="48"/>
        <v>1</v>
      </c>
      <c r="E62" s="316" t="s">
        <v>22</v>
      </c>
      <c r="F62" s="366"/>
      <c r="G62" s="401" t="s">
        <v>255</v>
      </c>
      <c r="H62" s="403" t="s">
        <v>256</v>
      </c>
      <c r="I62" s="348"/>
      <c r="J62" s="297">
        <f>IF(E62="A",'HS - Lane and Step Schedule'!B$7,IF(E62="B",'HS - Lane and Step Schedule'!D$7,IF(E62="C",'HS - Lane and Step Schedule'!F$7,IF(E62="D",'HS - Lane and Step Schedule'!H$7,IF(E62="E",'HS - Lane and Step Schedule'!J$7,IF(E62="F",'HS - Lane and Step Schedule'!L$7,IF(E62="G",'HS - Lane and Step Schedule'!N$7,IF(E62="H",'HS - Lane and Step Schedule'!P$7,IF(E62="I",'HS - Lane and Step Schedule'!R$7,IF(E62="J",'HS - Lane and Step Schedule'!T$7))))))))))</f>
        <v>9.7991999999999996E-2</v>
      </c>
      <c r="K62" s="307">
        <f t="shared" si="49"/>
        <v>3874.1205794399998</v>
      </c>
      <c r="L62" s="297">
        <f>IF(E62="A",'HS - Lane and Step Schedule'!B$16,IF(E62="B",'HS - Lane and Step Schedule'!D$16,IF(E62="C",'HS - Lane and Step Schedule'!F$16,IF(E62="D",'HS - Lane and Step Schedule'!H$16,IF(E62="E",'HS - Lane and Step Schedule'!J$16,IF(E62="F",'HS - Lane and Step Schedule'!L$16,IF(E62="G",'HS - Lane and Step Schedule'!N$16,IF(E62="H",'HS - Lane and Step Schedule'!P$16,IF(E62="I",'HS - Lane and Step Schedule'!R$16,IF(E62="J",'HS - Lane and Step Schedule'!T$16))))))))))</f>
        <v>0.11343798900000002</v>
      </c>
      <c r="M62" s="307">
        <f t="shared" si="50"/>
        <v>4484.7788357742311</v>
      </c>
      <c r="N62" s="297">
        <f>IF(E62="A",'HS - Lane and Step Schedule'!B$25,IF(E62="B",'HS - Lane and Step Schedule'!D$25,IF(E62="C",'HS - Lane and Step Schedule'!F$25,IF(E62="D",'HS - Lane and Step Schedule'!H$25,IF(E62="E",'HS - Lane and Step Schedule'!J$25,IF(E62="F",'HS - Lane and Step Schedule'!L$25,IF(E62="G",'HS - Lane and Step Schedule'!N$25,IF(E62="H",'HS - Lane and Step Schedule'!P$25,IF(E62="I",'HS - Lane and Step Schedule'!R$25,IF(E62="J",'HS - Lane and Step Schedule'!T$25))))))))))</f>
        <v>0.11687527350468901</v>
      </c>
      <c r="O62" s="307">
        <f t="shared" si="51"/>
        <v>4620.6721192770256</v>
      </c>
      <c r="P62" s="319">
        <v>1</v>
      </c>
      <c r="Q62" s="296">
        <v>1</v>
      </c>
      <c r="R62" s="298">
        <f t="shared" si="52"/>
        <v>4485</v>
      </c>
      <c r="S62" s="298">
        <f>+R62+R63</f>
        <v>7288</v>
      </c>
      <c r="T62" s="298">
        <f>+S62*0.3134</f>
        <v>2284.0592000000001</v>
      </c>
      <c r="U62" s="298">
        <f>+S62+T62</f>
        <v>9572.0591999999997</v>
      </c>
      <c r="V62" s="302"/>
      <c r="X62" s="252" t="str">
        <f t="shared" ref="X62" si="75">+A62</f>
        <v>Student Council</v>
      </c>
      <c r="Y62" s="252" t="str">
        <f t="shared" si="6"/>
        <v>Head Advisor</v>
      </c>
      <c r="Z62" s="323">
        <f t="shared" si="7"/>
        <v>3874.1205794399998</v>
      </c>
      <c r="AA62" s="323">
        <f t="shared" si="8"/>
        <v>4620.6721192770256</v>
      </c>
    </row>
    <row r="63" spans="1:27" ht="19.95" customHeight="1" thickBot="1" x14ac:dyDescent="0.35">
      <c r="A63" s="408"/>
      <c r="B63" s="413"/>
      <c r="C63" s="367" t="s">
        <v>59</v>
      </c>
      <c r="D63" s="304">
        <f t="shared" si="48"/>
        <v>1</v>
      </c>
      <c r="E63" s="317" t="s">
        <v>23</v>
      </c>
      <c r="F63" s="368"/>
      <c r="G63" s="402"/>
      <c r="H63" s="404"/>
      <c r="I63" s="348"/>
      <c r="J63" s="303">
        <f>IF(E63="A",'HS - Lane and Step Schedule'!B$7,IF(E63="B",'HS - Lane and Step Schedule'!D$7,IF(E63="C",'HS - Lane and Step Schedule'!F$7,IF(E63="D",'HS - Lane and Step Schedule'!H$7,IF(E63="E",'HS - Lane and Step Schedule'!J$7,IF(E63="F",'HS - Lane and Step Schedule'!L$7,IF(E63="G",'HS - Lane and Step Schedule'!N$7,IF(E63="H",'HS - Lane and Step Schedule'!P$7,IF(E63="I",'HS - Lane and Step Schedule'!R$7,IF(E63="J",'HS - Lane and Step Schedule'!T$7))))))))))</f>
        <v>6.1245000000000001E-2</v>
      </c>
      <c r="K63" s="308">
        <f t="shared" si="49"/>
        <v>2421.3253621499998</v>
      </c>
      <c r="L63" s="303">
        <f>IF(E63="A",'HS - Lane and Step Schedule'!B$16,IF(E63="B",'HS - Lane and Step Schedule'!D$16,IF(E63="C",'HS - Lane and Step Schedule'!F$16,IF(E63="D",'HS - Lane and Step Schedule'!H$16,IF(E63="E",'HS - Lane and Step Schedule'!J$16,IF(E63="F",'HS - Lane and Step Schedule'!L$16,IF(E63="G",'HS - Lane and Step Schedule'!N$16,IF(E63="H",'HS - Lane and Step Schedule'!P$16,IF(E63="I",'HS - Lane and Step Schedule'!R$16,IF(E63="J",'HS - Lane and Step Schedule'!T$16))))))))))</f>
        <v>7.0898743125000011E-2</v>
      </c>
      <c r="M63" s="308">
        <f t="shared" si="50"/>
        <v>2802.9867723588941</v>
      </c>
      <c r="N63" s="303">
        <f>IF(E63="A",'HS - Lane and Step Schedule'!B$25,IF(E63="B",'HS - Lane and Step Schedule'!D$25,IF(E63="C",'HS - Lane and Step Schedule'!F$25,IF(E63="D",'HS - Lane and Step Schedule'!H$25,IF(E63="E",'HS - Lane and Step Schedule'!J$25,IF(E63="F",'HS - Lane and Step Schedule'!L$25,IF(E63="G",'HS - Lane and Step Schedule'!N$25,IF(E63="H",'HS - Lane and Step Schedule'!P$25,IF(E63="I",'HS - Lane and Step Schedule'!R$25,IF(E63="J",'HS - Lane and Step Schedule'!T$25))))))))))</f>
        <v>7.3047045940430641E-2</v>
      </c>
      <c r="O63" s="308">
        <f t="shared" si="51"/>
        <v>2887.9200745481412</v>
      </c>
      <c r="P63" s="320">
        <v>1</v>
      </c>
      <c r="Q63" s="400">
        <v>1</v>
      </c>
      <c r="R63" s="309">
        <f t="shared" si="52"/>
        <v>2803</v>
      </c>
      <c r="S63" s="309"/>
      <c r="T63" s="310"/>
      <c r="U63" s="310"/>
      <c r="V63" s="306"/>
      <c r="X63" s="252" t="str">
        <f t="shared" ref="X63" si="76">+A62</f>
        <v>Student Council</v>
      </c>
      <c r="Y63" s="252" t="str">
        <f t="shared" si="6"/>
        <v>Assistant Advisor</v>
      </c>
      <c r="Z63" s="323">
        <f t="shared" si="7"/>
        <v>2421.3253621499998</v>
      </c>
      <c r="AA63" s="323">
        <f t="shared" si="8"/>
        <v>2887.9200745481412</v>
      </c>
    </row>
    <row r="64" spans="1:27" ht="19.95" customHeight="1" x14ac:dyDescent="0.3">
      <c r="A64" s="407" t="s">
        <v>85</v>
      </c>
      <c r="B64" s="409">
        <f>+S64</f>
        <v>7288</v>
      </c>
      <c r="C64" s="365" t="s">
        <v>57</v>
      </c>
      <c r="D64" s="313">
        <f t="shared" si="48"/>
        <v>1</v>
      </c>
      <c r="E64" s="316" t="s">
        <v>22</v>
      </c>
      <c r="F64" s="369"/>
      <c r="G64" s="401" t="s">
        <v>123</v>
      </c>
      <c r="H64" s="403" t="s">
        <v>258</v>
      </c>
      <c r="I64" s="348"/>
      <c r="J64" s="297">
        <f>IF(E64="A",'HS - Lane and Step Schedule'!B$7,IF(E64="B",'HS - Lane and Step Schedule'!D$7,IF(E64="C",'HS - Lane and Step Schedule'!F$7,IF(E64="D",'HS - Lane and Step Schedule'!H$7,IF(E64="E",'HS - Lane and Step Schedule'!J$7,IF(E64="F",'HS - Lane and Step Schedule'!L$7,IF(E64="G",'HS - Lane and Step Schedule'!N$7,IF(E64="H",'HS - Lane and Step Schedule'!P$7,IF(E64="I",'HS - Lane and Step Schedule'!R$7,IF(E64="J",'HS - Lane and Step Schedule'!T$7))))))))))</f>
        <v>9.7991999999999996E-2</v>
      </c>
      <c r="K64" s="307">
        <f t="shared" si="49"/>
        <v>3874.1205794399998</v>
      </c>
      <c r="L64" s="297">
        <f>IF(E64="A",'HS - Lane and Step Schedule'!B$16,IF(E64="B",'HS - Lane and Step Schedule'!D$16,IF(E64="C",'HS - Lane and Step Schedule'!F$16,IF(E64="D",'HS - Lane and Step Schedule'!H$16,IF(E64="E",'HS - Lane and Step Schedule'!J$16,IF(E64="F",'HS - Lane and Step Schedule'!L$16,IF(E64="G",'HS - Lane and Step Schedule'!N$16,IF(E64="H",'HS - Lane and Step Schedule'!P$16,IF(E64="I",'HS - Lane and Step Schedule'!R$16,IF(E64="J",'HS - Lane and Step Schedule'!T$16))))))))))</f>
        <v>0.11343798900000002</v>
      </c>
      <c r="M64" s="307">
        <f t="shared" si="50"/>
        <v>4484.7788357742311</v>
      </c>
      <c r="N64" s="297">
        <f>IF(E64="A",'HS - Lane and Step Schedule'!B$25,IF(E64="B",'HS - Lane and Step Schedule'!D$25,IF(E64="C",'HS - Lane and Step Schedule'!F$25,IF(E64="D",'HS - Lane and Step Schedule'!H$25,IF(E64="E",'HS - Lane and Step Schedule'!J$25,IF(E64="F",'HS - Lane and Step Schedule'!L$25,IF(E64="G",'HS - Lane and Step Schedule'!N$25,IF(E64="H",'HS - Lane and Step Schedule'!P$25,IF(E64="I",'HS - Lane and Step Schedule'!R$25,IF(E64="J",'HS - Lane and Step Schedule'!T$25))))))))))</f>
        <v>0.11687527350468901</v>
      </c>
      <c r="O64" s="307">
        <f t="shared" si="51"/>
        <v>4620.6721192770256</v>
      </c>
      <c r="P64" s="319">
        <v>1</v>
      </c>
      <c r="Q64" s="296">
        <v>1</v>
      </c>
      <c r="R64" s="298">
        <f t="shared" si="52"/>
        <v>4485</v>
      </c>
      <c r="S64" s="298">
        <f>+R64+R65</f>
        <v>7288</v>
      </c>
      <c r="T64" s="298">
        <f>+S64*0.3134</f>
        <v>2284.0592000000001</v>
      </c>
      <c r="U64" s="298">
        <f>+S64+T64</f>
        <v>9572.0591999999997</v>
      </c>
      <c r="V64" s="302"/>
      <c r="X64" s="252" t="str">
        <f t="shared" ref="X64" si="77">+A64</f>
        <v>Swimming - Boys</v>
      </c>
      <c r="Y64" s="252" t="str">
        <f t="shared" si="6"/>
        <v>Head Coach</v>
      </c>
      <c r="Z64" s="323">
        <f t="shared" si="7"/>
        <v>3874.1205794399998</v>
      </c>
      <c r="AA64" s="323">
        <f t="shared" si="8"/>
        <v>4620.6721192770256</v>
      </c>
    </row>
    <row r="65" spans="1:32" ht="19.95" customHeight="1" thickBot="1" x14ac:dyDescent="0.35">
      <c r="A65" s="414"/>
      <c r="B65" s="410"/>
      <c r="C65" s="370" t="s">
        <v>56</v>
      </c>
      <c r="D65" s="304">
        <f t="shared" si="48"/>
        <v>2</v>
      </c>
      <c r="E65" s="317" t="s">
        <v>23</v>
      </c>
      <c r="F65" s="368"/>
      <c r="G65" s="402"/>
      <c r="H65" s="404"/>
      <c r="I65" s="348"/>
      <c r="J65" s="303">
        <f>IF(E65="A",'HS - Lane and Step Schedule'!B$7,IF(E65="B",'HS - Lane and Step Schedule'!D$7,IF(E65="C",'HS - Lane and Step Schedule'!F$7,IF(E65="D",'HS - Lane and Step Schedule'!H$7,IF(E65="E",'HS - Lane and Step Schedule'!J$7,IF(E65="F",'HS - Lane and Step Schedule'!L$7,IF(E65="G",'HS - Lane and Step Schedule'!N$7,IF(E65="H",'HS - Lane and Step Schedule'!P$7,IF(E65="I",'HS - Lane and Step Schedule'!R$7,IF(E65="J",'HS - Lane and Step Schedule'!T$7))))))))))</f>
        <v>6.1245000000000001E-2</v>
      </c>
      <c r="K65" s="308">
        <f t="shared" si="49"/>
        <v>2421.3253621499998</v>
      </c>
      <c r="L65" s="303">
        <f>IF(E65="A",'HS - Lane and Step Schedule'!B$16,IF(E65="B",'HS - Lane and Step Schedule'!D$16,IF(E65="C",'HS - Lane and Step Schedule'!F$16,IF(E65="D",'HS - Lane and Step Schedule'!H$16,IF(E65="E",'HS - Lane and Step Schedule'!J$16,IF(E65="F",'HS - Lane and Step Schedule'!L$16,IF(E65="G",'HS - Lane and Step Schedule'!N$16,IF(E65="H",'HS - Lane and Step Schedule'!P$16,IF(E65="I",'HS - Lane and Step Schedule'!R$16,IF(E65="J",'HS - Lane and Step Schedule'!T$16))))))))))</f>
        <v>7.0898743125000011E-2</v>
      </c>
      <c r="M65" s="308">
        <f t="shared" si="50"/>
        <v>2802.9867723588941</v>
      </c>
      <c r="N65" s="303">
        <f>IF(E65="A",'HS - Lane and Step Schedule'!B$25,IF(E65="B",'HS - Lane and Step Schedule'!D$25,IF(E65="C",'HS - Lane and Step Schedule'!F$25,IF(E65="D",'HS - Lane and Step Schedule'!H$25,IF(E65="E",'HS - Lane and Step Schedule'!J$25,IF(E65="F",'HS - Lane and Step Schedule'!L$25,IF(E65="G",'HS - Lane and Step Schedule'!N$25,IF(E65="H",'HS - Lane and Step Schedule'!P$25,IF(E65="I",'HS - Lane and Step Schedule'!R$25,IF(E65="J",'HS - Lane and Step Schedule'!T$25))))))))))</f>
        <v>7.3047045940430641E-2</v>
      </c>
      <c r="O65" s="308">
        <f t="shared" si="51"/>
        <v>2887.9200745481412</v>
      </c>
      <c r="P65" s="320">
        <v>2</v>
      </c>
      <c r="Q65" s="305">
        <v>1</v>
      </c>
      <c r="R65" s="309">
        <f t="shared" si="52"/>
        <v>2803</v>
      </c>
      <c r="S65" s="309"/>
      <c r="T65" s="310"/>
      <c r="U65" s="310"/>
      <c r="V65" s="306"/>
      <c r="X65" s="252" t="str">
        <f t="shared" ref="X65" si="78">+A64</f>
        <v>Swimming - Boys</v>
      </c>
      <c r="Y65" s="252" t="str">
        <f t="shared" si="6"/>
        <v>Assistant Coach</v>
      </c>
      <c r="Z65" s="323">
        <f t="shared" si="7"/>
        <v>2421.3253621499998</v>
      </c>
      <c r="AA65" s="323">
        <f t="shared" si="8"/>
        <v>2887.9200745481412</v>
      </c>
    </row>
    <row r="66" spans="1:32" ht="19.95" customHeight="1" x14ac:dyDescent="0.3">
      <c r="A66" s="407" t="s">
        <v>84</v>
      </c>
      <c r="B66" s="409">
        <f>+S66</f>
        <v>7288</v>
      </c>
      <c r="C66" s="365" t="s">
        <v>57</v>
      </c>
      <c r="D66" s="313">
        <f t="shared" si="48"/>
        <v>1</v>
      </c>
      <c r="E66" s="316" t="s">
        <v>22</v>
      </c>
      <c r="F66" s="369"/>
      <c r="G66" s="401" t="s">
        <v>123</v>
      </c>
      <c r="H66" s="403" t="s">
        <v>258</v>
      </c>
      <c r="I66" s="348"/>
      <c r="J66" s="297">
        <f>IF(E66="A",'HS - Lane and Step Schedule'!B$7,IF(E66="B",'HS - Lane and Step Schedule'!D$7,IF(E66="C",'HS - Lane and Step Schedule'!F$7,IF(E66="D",'HS - Lane and Step Schedule'!H$7,IF(E66="E",'HS - Lane and Step Schedule'!J$7,IF(E66="F",'HS - Lane and Step Schedule'!L$7,IF(E66="G",'HS - Lane and Step Schedule'!N$7,IF(E66="H",'HS - Lane and Step Schedule'!P$7,IF(E66="I",'HS - Lane and Step Schedule'!R$7,IF(E66="J",'HS - Lane and Step Schedule'!T$7))))))))))</f>
        <v>9.7991999999999996E-2</v>
      </c>
      <c r="K66" s="307">
        <f t="shared" si="49"/>
        <v>3874.1205794399998</v>
      </c>
      <c r="L66" s="297">
        <f>IF(E66="A",'HS - Lane and Step Schedule'!B$16,IF(E66="B",'HS - Lane and Step Schedule'!D$16,IF(E66="C",'HS - Lane and Step Schedule'!F$16,IF(E66="D",'HS - Lane and Step Schedule'!H$16,IF(E66="E",'HS - Lane and Step Schedule'!J$16,IF(E66="F",'HS - Lane and Step Schedule'!L$16,IF(E66="G",'HS - Lane and Step Schedule'!N$16,IF(E66="H",'HS - Lane and Step Schedule'!P$16,IF(E66="I",'HS - Lane and Step Schedule'!R$16,IF(E66="J",'HS - Lane and Step Schedule'!T$16))))))))))</f>
        <v>0.11343798900000002</v>
      </c>
      <c r="M66" s="307">
        <f t="shared" si="50"/>
        <v>4484.7788357742311</v>
      </c>
      <c r="N66" s="297">
        <f>IF(E66="A",'HS - Lane and Step Schedule'!B$25,IF(E66="B",'HS - Lane and Step Schedule'!D$25,IF(E66="C",'HS - Lane and Step Schedule'!F$25,IF(E66="D",'HS - Lane and Step Schedule'!H$25,IF(E66="E",'HS - Lane and Step Schedule'!J$25,IF(E66="F",'HS - Lane and Step Schedule'!L$25,IF(E66="G",'HS - Lane and Step Schedule'!N$25,IF(E66="H",'HS - Lane and Step Schedule'!P$25,IF(E66="I",'HS - Lane and Step Schedule'!R$25,IF(E66="J",'HS - Lane and Step Schedule'!T$25))))))))))</f>
        <v>0.11687527350468901</v>
      </c>
      <c r="O66" s="307">
        <f t="shared" si="51"/>
        <v>4620.6721192770256</v>
      </c>
      <c r="P66" s="319">
        <v>1</v>
      </c>
      <c r="Q66" s="296">
        <v>1</v>
      </c>
      <c r="R66" s="298">
        <f t="shared" si="52"/>
        <v>4485</v>
      </c>
      <c r="S66" s="298">
        <f>+R66+R67</f>
        <v>7288</v>
      </c>
      <c r="T66" s="298">
        <f>+S66*0.3134</f>
        <v>2284.0592000000001</v>
      </c>
      <c r="U66" s="298">
        <f>+S66+T66</f>
        <v>9572.0591999999997</v>
      </c>
      <c r="V66" s="302"/>
      <c r="X66" s="252" t="str">
        <f t="shared" ref="X66" si="79">+A66</f>
        <v>Swimming - Girls</v>
      </c>
      <c r="Y66" s="252" t="str">
        <f t="shared" si="6"/>
        <v>Head Coach</v>
      </c>
      <c r="Z66" s="323">
        <f t="shared" si="7"/>
        <v>3874.1205794399998</v>
      </c>
      <c r="AA66" s="323">
        <f t="shared" si="8"/>
        <v>4620.6721192770256</v>
      </c>
    </row>
    <row r="67" spans="1:32" ht="19.95" customHeight="1" thickBot="1" x14ac:dyDescent="0.35">
      <c r="A67" s="408"/>
      <c r="B67" s="413"/>
      <c r="C67" s="367" t="s">
        <v>56</v>
      </c>
      <c r="D67" s="304">
        <f t="shared" si="48"/>
        <v>2</v>
      </c>
      <c r="E67" s="317" t="s">
        <v>23</v>
      </c>
      <c r="F67" s="368"/>
      <c r="G67" s="402"/>
      <c r="H67" s="404"/>
      <c r="I67" s="348"/>
      <c r="J67" s="303">
        <f>IF(E67="A",'HS - Lane and Step Schedule'!B$7,IF(E67="B",'HS - Lane and Step Schedule'!D$7,IF(E67="C",'HS - Lane and Step Schedule'!F$7,IF(E67="D",'HS - Lane and Step Schedule'!H$7,IF(E67="E",'HS - Lane and Step Schedule'!J$7,IF(E67="F",'HS - Lane and Step Schedule'!L$7,IF(E67="G",'HS - Lane and Step Schedule'!N$7,IF(E67="H",'HS - Lane and Step Schedule'!P$7,IF(E67="I",'HS - Lane and Step Schedule'!R$7,IF(E67="J",'HS - Lane and Step Schedule'!T$7))))))))))</f>
        <v>6.1245000000000001E-2</v>
      </c>
      <c r="K67" s="308">
        <f t="shared" si="49"/>
        <v>2421.3253621499998</v>
      </c>
      <c r="L67" s="303">
        <f>IF(E67="A",'HS - Lane and Step Schedule'!B$16,IF(E67="B",'HS - Lane and Step Schedule'!D$16,IF(E67="C",'HS - Lane and Step Schedule'!F$16,IF(E67="D",'HS - Lane and Step Schedule'!H$16,IF(E67="E",'HS - Lane and Step Schedule'!J$16,IF(E67="F",'HS - Lane and Step Schedule'!L$16,IF(E67="G",'HS - Lane and Step Schedule'!N$16,IF(E67="H",'HS - Lane and Step Schedule'!P$16,IF(E67="I",'HS - Lane and Step Schedule'!R$16,IF(E67="J",'HS - Lane and Step Schedule'!T$16))))))))))</f>
        <v>7.0898743125000011E-2</v>
      </c>
      <c r="M67" s="308">
        <f t="shared" si="50"/>
        <v>2802.9867723588941</v>
      </c>
      <c r="N67" s="303">
        <f>IF(E67="A",'HS - Lane and Step Schedule'!B$25,IF(E67="B",'HS - Lane and Step Schedule'!D$25,IF(E67="C",'HS - Lane and Step Schedule'!F$25,IF(E67="D",'HS - Lane and Step Schedule'!H$25,IF(E67="E",'HS - Lane and Step Schedule'!J$25,IF(E67="F",'HS - Lane and Step Schedule'!L$25,IF(E67="G",'HS - Lane and Step Schedule'!N$25,IF(E67="H",'HS - Lane and Step Schedule'!P$25,IF(E67="I",'HS - Lane and Step Schedule'!R$25,IF(E67="J",'HS - Lane and Step Schedule'!T$25))))))))))</f>
        <v>7.3047045940430641E-2</v>
      </c>
      <c r="O67" s="308">
        <f t="shared" si="51"/>
        <v>2887.9200745481412</v>
      </c>
      <c r="P67" s="320">
        <v>2</v>
      </c>
      <c r="Q67" s="305">
        <v>1</v>
      </c>
      <c r="R67" s="309">
        <f t="shared" si="52"/>
        <v>2803</v>
      </c>
      <c r="S67" s="309"/>
      <c r="T67" s="310"/>
      <c r="U67" s="310"/>
      <c r="V67" s="306"/>
      <c r="X67" s="252" t="str">
        <f t="shared" ref="X67" si="80">+A66</f>
        <v>Swimming - Girls</v>
      </c>
      <c r="Y67" s="252" t="str">
        <f t="shared" si="6"/>
        <v>Assistant Coach</v>
      </c>
      <c r="Z67" s="323">
        <f t="shared" si="7"/>
        <v>2421.3253621499998</v>
      </c>
      <c r="AA67" s="323">
        <f t="shared" si="8"/>
        <v>2887.9200745481412</v>
      </c>
    </row>
    <row r="68" spans="1:32" ht="19.95" customHeight="1" x14ac:dyDescent="0.3">
      <c r="A68" s="407" t="s">
        <v>14</v>
      </c>
      <c r="B68" s="409">
        <f>+S68</f>
        <v>4734</v>
      </c>
      <c r="C68" s="365" t="s">
        <v>57</v>
      </c>
      <c r="D68" s="313">
        <f t="shared" si="48"/>
        <v>1</v>
      </c>
      <c r="E68" s="316" t="s">
        <v>5</v>
      </c>
      <c r="F68" s="366"/>
      <c r="G68" s="401" t="s">
        <v>124</v>
      </c>
      <c r="H68" s="403" t="s">
        <v>257</v>
      </c>
      <c r="I68" s="348"/>
      <c r="J68" s="297">
        <f>IF(E68="A",'HS - Lane and Step Schedule'!B$7,IF(E68="B",'HS - Lane and Step Schedule'!D$7,IF(E68="C",'HS - Lane and Step Schedule'!F$7,IF(E68="D",'HS - Lane and Step Schedule'!H$7,IF(E68="E",'HS - Lane and Step Schedule'!J$7,IF(E68="F",'HS - Lane and Step Schedule'!L$7,IF(E68="G",'HS - Lane and Step Schedule'!N$7,IF(E68="H",'HS - Lane and Step Schedule'!P$7,IF(E68="I",'HS - Lane and Step Schedule'!R$7,IF(E68="J",'HS - Lane and Step Schedule'!T$7))))))))))</f>
        <v>6.6688999999999998E-2</v>
      </c>
      <c r="K68" s="307">
        <f t="shared" si="49"/>
        <v>2636.5542832299998</v>
      </c>
      <c r="L68" s="297">
        <f>IF(E68="A",'HS - Lane and Step Schedule'!B$16,IF(E68="B",'HS - Lane and Step Schedule'!D$16,IF(E68="C",'HS - Lane and Step Schedule'!F$16,IF(E68="D",'HS - Lane and Step Schedule'!H$16,IF(E68="E",'HS - Lane and Step Schedule'!J$16,IF(E68="F",'HS - Lane and Step Schedule'!L$16,IF(E68="G",'HS - Lane and Step Schedule'!N$16,IF(E68="H",'HS - Lane and Step Schedule'!P$16,IF(E68="I",'HS - Lane and Step Schedule'!R$16,IF(E68="J",'HS - Lane and Step Schedule'!T$16))))))))))</f>
        <v>7.7200853624999996E-2</v>
      </c>
      <c r="M68" s="307">
        <f t="shared" si="50"/>
        <v>3052.1411521241284</v>
      </c>
      <c r="N68" s="297">
        <f>IF(E68="A",'HS - Lane and Step Schedule'!B$25,IF(E68="B",'HS - Lane and Step Schedule'!D$25,IF(E68="C",'HS - Lane and Step Schedule'!F$25,IF(E68="D",'HS - Lane and Step Schedule'!H$25,IF(E68="E",'HS - Lane and Step Schedule'!J$25,IF(E68="F",'HS - Lane and Step Schedule'!L$25,IF(E68="G",'HS - Lane and Step Schedule'!N$25,IF(E68="H",'HS - Lane and Step Schedule'!P$25,IF(E68="I",'HS - Lane and Step Schedule'!R$25,IF(E68="J",'HS - Lane and Step Schedule'!T$25))))))))))</f>
        <v>7.9540116690691137E-2</v>
      </c>
      <c r="O68" s="307">
        <f t="shared" si="51"/>
        <v>3144.6240811746425</v>
      </c>
      <c r="P68" s="319">
        <v>1</v>
      </c>
      <c r="Q68" s="296">
        <v>1</v>
      </c>
      <c r="R68" s="298">
        <f t="shared" si="52"/>
        <v>3052</v>
      </c>
      <c r="S68" s="298">
        <f>+R68+R69</f>
        <v>4734</v>
      </c>
      <c r="T68" s="298">
        <f>+S68*0.3134</f>
        <v>1483.6356000000001</v>
      </c>
      <c r="U68" s="298">
        <f>+S68+T68</f>
        <v>6217.6355999999996</v>
      </c>
      <c r="V68" s="302"/>
      <c r="X68" s="252" t="str">
        <f t="shared" ref="X68" si="81">+A68</f>
        <v>Tennis - Boys</v>
      </c>
      <c r="Y68" s="252" t="str">
        <f t="shared" si="6"/>
        <v>Head Coach</v>
      </c>
      <c r="Z68" s="323">
        <f t="shared" si="7"/>
        <v>2636.5542832299998</v>
      </c>
      <c r="AA68" s="323">
        <f t="shared" si="8"/>
        <v>3144.6240811746425</v>
      </c>
    </row>
    <row r="69" spans="1:32" ht="19.95" customHeight="1" thickBot="1" x14ac:dyDescent="0.35">
      <c r="A69" s="408"/>
      <c r="B69" s="413"/>
      <c r="C69" s="367" t="s">
        <v>56</v>
      </c>
      <c r="D69" s="304">
        <f t="shared" si="48"/>
        <v>2</v>
      </c>
      <c r="E69" s="317" t="s">
        <v>47</v>
      </c>
      <c r="F69" s="368"/>
      <c r="G69" s="402"/>
      <c r="H69" s="404"/>
      <c r="I69" s="348"/>
      <c r="J69" s="303">
        <f>IF(E69="A",'HS - Lane and Step Schedule'!B$7,IF(E69="B",'HS - Lane and Step Schedule'!D$7,IF(E69="C",'HS - Lane and Step Schedule'!F$7,IF(E69="D",'HS - Lane and Step Schedule'!H$7,IF(E69="E",'HS - Lane and Step Schedule'!J$7,IF(E69="F",'HS - Lane and Step Schedule'!L$7,IF(E69="G",'HS - Lane and Step Schedule'!N$7,IF(E69="H",'HS - Lane and Step Schedule'!P$7,IF(E69="I",'HS - Lane and Step Schedule'!R$7,IF(E69="J",'HS - Lane and Step Schedule'!T$7))))))))))</f>
        <v>3.6747000000000002E-2</v>
      </c>
      <c r="K69" s="308">
        <f t="shared" si="49"/>
        <v>1452.79521729</v>
      </c>
      <c r="L69" s="303">
        <f>IF(E69="A",'HS - Lane and Step Schedule'!B$16,IF(E69="B",'HS - Lane and Step Schedule'!D$16,IF(E69="C",'HS - Lane and Step Schedule'!F$16,IF(E69="D",'HS - Lane and Step Schedule'!H$16,IF(E69="E",'HS - Lane and Step Schedule'!J$16,IF(E69="F",'HS - Lane and Step Schedule'!L$16,IF(E69="G",'HS - Lane and Step Schedule'!N$16,IF(E69="H",'HS - Lane and Step Schedule'!P$16,IF(E69="I",'HS - Lane and Step Schedule'!R$16,IF(E69="J",'HS - Lane and Step Schedule'!T$16))))))))))</f>
        <v>4.2539245875000006E-2</v>
      </c>
      <c r="M69" s="308">
        <f t="shared" si="50"/>
        <v>1681.7920634153365</v>
      </c>
      <c r="N69" s="303">
        <f>IF(E69="A",'HS - Lane and Step Schedule'!B$25,IF(E69="B",'HS - Lane and Step Schedule'!D$25,IF(E69="C",'HS - Lane and Step Schedule'!F$25,IF(E69="D",'HS - Lane and Step Schedule'!H$25,IF(E69="E",'HS - Lane and Step Schedule'!J$25,IF(E69="F",'HS - Lane and Step Schedule'!L$25,IF(E69="G",'HS - Lane and Step Schedule'!N$25,IF(E69="H",'HS - Lane and Step Schedule'!P$25,IF(E69="I",'HS - Lane and Step Schedule'!R$25,IF(E69="J",'HS - Lane and Step Schedule'!T$25))))))))))</f>
        <v>4.382822756425838E-2</v>
      </c>
      <c r="O69" s="308">
        <f t="shared" si="51"/>
        <v>1732.7520447288846</v>
      </c>
      <c r="P69" s="320">
        <v>2</v>
      </c>
      <c r="Q69" s="305">
        <v>1</v>
      </c>
      <c r="R69" s="309">
        <f t="shared" si="52"/>
        <v>1682</v>
      </c>
      <c r="S69" s="309"/>
      <c r="T69" s="310"/>
      <c r="U69" s="310"/>
      <c r="V69" s="306"/>
      <c r="X69" s="252" t="str">
        <f t="shared" ref="X69" si="82">+A68</f>
        <v>Tennis - Boys</v>
      </c>
      <c r="Y69" s="252" t="str">
        <f t="shared" si="6"/>
        <v>Assistant Coach</v>
      </c>
      <c r="Z69" s="323">
        <f t="shared" si="7"/>
        <v>1452.79521729</v>
      </c>
      <c r="AA69" s="323">
        <f t="shared" si="8"/>
        <v>1732.7520447288846</v>
      </c>
    </row>
    <row r="70" spans="1:32" ht="19.95" customHeight="1" x14ac:dyDescent="0.3">
      <c r="A70" s="407" t="s">
        <v>15</v>
      </c>
      <c r="B70" s="409">
        <f>+S70</f>
        <v>4734</v>
      </c>
      <c r="C70" s="365" t="s">
        <v>57</v>
      </c>
      <c r="D70" s="313">
        <f t="shared" si="48"/>
        <v>1</v>
      </c>
      <c r="E70" s="316" t="s">
        <v>5</v>
      </c>
      <c r="F70" s="366"/>
      <c r="G70" s="401" t="s">
        <v>122</v>
      </c>
      <c r="H70" s="403" t="s">
        <v>259</v>
      </c>
      <c r="I70" s="348"/>
      <c r="J70" s="297">
        <f>IF(E70="A",'HS - Lane and Step Schedule'!B$7,IF(E70="B",'HS - Lane and Step Schedule'!D$7,IF(E70="C",'HS - Lane and Step Schedule'!F$7,IF(E70="D",'HS - Lane and Step Schedule'!H$7,IF(E70="E",'HS - Lane and Step Schedule'!J$7,IF(E70="F",'HS - Lane and Step Schedule'!L$7,IF(E70="G",'HS - Lane and Step Schedule'!N$7,IF(E70="H",'HS - Lane and Step Schedule'!P$7,IF(E70="I",'HS - Lane and Step Schedule'!R$7,IF(E70="J",'HS - Lane and Step Schedule'!T$7))))))))))</f>
        <v>6.6688999999999998E-2</v>
      </c>
      <c r="K70" s="307">
        <f t="shared" si="49"/>
        <v>2636.5542832299998</v>
      </c>
      <c r="L70" s="297">
        <f>IF(E70="A",'HS - Lane and Step Schedule'!B$16,IF(E70="B",'HS - Lane and Step Schedule'!D$16,IF(E70="C",'HS - Lane and Step Schedule'!F$16,IF(E70="D",'HS - Lane and Step Schedule'!H$16,IF(E70="E",'HS - Lane and Step Schedule'!J$16,IF(E70="F",'HS - Lane and Step Schedule'!L$16,IF(E70="G",'HS - Lane and Step Schedule'!N$16,IF(E70="H",'HS - Lane and Step Schedule'!P$16,IF(E70="I",'HS - Lane and Step Schedule'!R$16,IF(E70="J",'HS - Lane and Step Schedule'!T$16))))))))))</f>
        <v>7.7200853624999996E-2</v>
      </c>
      <c r="M70" s="307">
        <f t="shared" si="50"/>
        <v>3052.1411521241284</v>
      </c>
      <c r="N70" s="297">
        <f>IF(E70="A",'HS - Lane and Step Schedule'!B$25,IF(E70="B",'HS - Lane and Step Schedule'!D$25,IF(E70="C",'HS - Lane and Step Schedule'!F$25,IF(E70="D",'HS - Lane and Step Schedule'!H$25,IF(E70="E",'HS - Lane and Step Schedule'!J$25,IF(E70="F",'HS - Lane and Step Schedule'!L$25,IF(E70="G",'HS - Lane and Step Schedule'!N$25,IF(E70="H",'HS - Lane and Step Schedule'!P$25,IF(E70="I",'HS - Lane and Step Schedule'!R$25,IF(E70="J",'HS - Lane and Step Schedule'!T$25))))))))))</f>
        <v>7.9540116690691137E-2</v>
      </c>
      <c r="O70" s="307">
        <f t="shared" si="51"/>
        <v>3144.6240811746425</v>
      </c>
      <c r="P70" s="319">
        <v>1</v>
      </c>
      <c r="Q70" s="296">
        <v>1</v>
      </c>
      <c r="R70" s="298">
        <f t="shared" si="52"/>
        <v>3052</v>
      </c>
      <c r="S70" s="298">
        <f>+R70+R71</f>
        <v>4734</v>
      </c>
      <c r="T70" s="298">
        <f>+S70*0.3134</f>
        <v>1483.6356000000001</v>
      </c>
      <c r="U70" s="298">
        <f>+S70+T70</f>
        <v>6217.6355999999996</v>
      </c>
      <c r="V70" s="302"/>
      <c r="X70" s="252" t="str">
        <f t="shared" ref="X70" si="83">+A70</f>
        <v>Tennis - Girls</v>
      </c>
      <c r="Y70" s="252" t="str">
        <f t="shared" si="6"/>
        <v>Head Coach</v>
      </c>
      <c r="Z70" s="323">
        <f t="shared" si="7"/>
        <v>2636.5542832299998</v>
      </c>
      <c r="AA70" s="323">
        <f t="shared" si="8"/>
        <v>3144.6240811746425</v>
      </c>
    </row>
    <row r="71" spans="1:32" ht="19.95" customHeight="1" thickBot="1" x14ac:dyDescent="0.35">
      <c r="A71" s="408"/>
      <c r="B71" s="413"/>
      <c r="C71" s="367" t="s">
        <v>56</v>
      </c>
      <c r="D71" s="304">
        <f t="shared" si="48"/>
        <v>2</v>
      </c>
      <c r="E71" s="317" t="s">
        <v>47</v>
      </c>
      <c r="F71" s="368"/>
      <c r="G71" s="402"/>
      <c r="H71" s="404"/>
      <c r="I71" s="348"/>
      <c r="J71" s="303">
        <f>IF(E71="A",'HS - Lane and Step Schedule'!B$7,IF(E71="B",'HS - Lane and Step Schedule'!D$7,IF(E71="C",'HS - Lane and Step Schedule'!F$7,IF(E71="D",'HS - Lane and Step Schedule'!H$7,IF(E71="E",'HS - Lane and Step Schedule'!J$7,IF(E71="F",'HS - Lane and Step Schedule'!L$7,IF(E71="G",'HS - Lane and Step Schedule'!N$7,IF(E71="H",'HS - Lane and Step Schedule'!P$7,IF(E71="I",'HS - Lane and Step Schedule'!R$7,IF(E71="J",'HS - Lane and Step Schedule'!T$7))))))))))</f>
        <v>3.6747000000000002E-2</v>
      </c>
      <c r="K71" s="308">
        <f t="shared" si="49"/>
        <v>1452.79521729</v>
      </c>
      <c r="L71" s="303">
        <f>IF(E71="A",'HS - Lane and Step Schedule'!B$16,IF(E71="B",'HS - Lane and Step Schedule'!D$16,IF(E71="C",'HS - Lane and Step Schedule'!F$16,IF(E71="D",'HS - Lane and Step Schedule'!H$16,IF(E71="E",'HS - Lane and Step Schedule'!J$16,IF(E71="F",'HS - Lane and Step Schedule'!L$16,IF(E71="G",'HS - Lane and Step Schedule'!N$16,IF(E71="H",'HS - Lane and Step Schedule'!P$16,IF(E71="I",'HS - Lane and Step Schedule'!R$16,IF(E71="J",'HS - Lane and Step Schedule'!T$16))))))))))</f>
        <v>4.2539245875000006E-2</v>
      </c>
      <c r="M71" s="308">
        <f t="shared" si="50"/>
        <v>1681.7920634153365</v>
      </c>
      <c r="N71" s="303">
        <f>IF(E71="A",'HS - Lane and Step Schedule'!B$25,IF(E71="B",'HS - Lane and Step Schedule'!D$25,IF(E71="C",'HS - Lane and Step Schedule'!F$25,IF(E71="D",'HS - Lane and Step Schedule'!H$25,IF(E71="E",'HS - Lane and Step Schedule'!J$25,IF(E71="F",'HS - Lane and Step Schedule'!L$25,IF(E71="G",'HS - Lane and Step Schedule'!N$25,IF(E71="H",'HS - Lane and Step Schedule'!P$25,IF(E71="I",'HS - Lane and Step Schedule'!R$25,IF(E71="J",'HS - Lane and Step Schedule'!T$25))))))))))</f>
        <v>4.382822756425838E-2</v>
      </c>
      <c r="O71" s="308">
        <f t="shared" si="51"/>
        <v>1732.7520447288846</v>
      </c>
      <c r="P71" s="320">
        <v>2</v>
      </c>
      <c r="Q71" s="305">
        <v>1</v>
      </c>
      <c r="R71" s="309">
        <f t="shared" si="52"/>
        <v>1682</v>
      </c>
      <c r="S71" s="309"/>
      <c r="T71" s="310"/>
      <c r="U71" s="310"/>
      <c r="V71" s="306"/>
      <c r="X71" s="252" t="str">
        <f t="shared" ref="X71" si="84">+A70</f>
        <v>Tennis - Girls</v>
      </c>
      <c r="Y71" s="252" t="str">
        <f t="shared" si="6"/>
        <v>Assistant Coach</v>
      </c>
      <c r="Z71" s="323">
        <f t="shared" si="7"/>
        <v>1452.79521729</v>
      </c>
      <c r="AA71" s="323">
        <f t="shared" si="8"/>
        <v>1732.7520447288846</v>
      </c>
    </row>
    <row r="72" spans="1:32" ht="19.95" customHeight="1" x14ac:dyDescent="0.3">
      <c r="A72" s="407" t="s">
        <v>8</v>
      </c>
      <c r="B72" s="409">
        <f>+S72</f>
        <v>10091</v>
      </c>
      <c r="C72" s="365" t="s">
        <v>57</v>
      </c>
      <c r="D72" s="313">
        <f t="shared" ref="D72:D89" si="85">+P72</f>
        <v>1</v>
      </c>
      <c r="E72" s="316" t="s">
        <v>22</v>
      </c>
      <c r="F72" s="366"/>
      <c r="G72" s="401" t="s">
        <v>124</v>
      </c>
      <c r="H72" s="403" t="s">
        <v>257</v>
      </c>
      <c r="I72" s="348"/>
      <c r="J72" s="297">
        <f>IF(E72="A",'HS - Lane and Step Schedule'!B$7,IF(E72="B",'HS - Lane and Step Schedule'!D$7,IF(E72="C",'HS - Lane and Step Schedule'!F$7,IF(E72="D",'HS - Lane and Step Schedule'!H$7,IF(E72="E",'HS - Lane and Step Schedule'!J$7,IF(E72="F",'HS - Lane and Step Schedule'!L$7,IF(E72="G",'HS - Lane and Step Schedule'!N$7,IF(E72="H",'HS - Lane and Step Schedule'!P$7,IF(E72="I",'HS - Lane and Step Schedule'!R$7,IF(E72="J",'HS - Lane and Step Schedule'!T$7))))))))))</f>
        <v>9.7991999999999996E-2</v>
      </c>
      <c r="K72" s="307">
        <f t="shared" ref="K72:K89" si="86">+$U$4*J72</f>
        <v>3874.1205794399998</v>
      </c>
      <c r="L72" s="297">
        <f>IF(E72="A",'HS - Lane and Step Schedule'!B$16,IF(E72="B",'HS - Lane and Step Schedule'!D$16,IF(E72="C",'HS - Lane and Step Schedule'!F$16,IF(E72="D",'HS - Lane and Step Schedule'!H$16,IF(E72="E",'HS - Lane and Step Schedule'!J$16,IF(E72="F",'HS - Lane and Step Schedule'!L$16,IF(E72="G",'HS - Lane and Step Schedule'!N$16,IF(E72="H",'HS - Lane and Step Schedule'!P$16,IF(E72="I",'HS - Lane and Step Schedule'!R$16,IF(E72="J",'HS - Lane and Step Schedule'!T$16))))))))))</f>
        <v>0.11343798900000002</v>
      </c>
      <c r="M72" s="307">
        <f t="shared" ref="M72:M89" si="87">+$U$4*L72</f>
        <v>4484.7788357742311</v>
      </c>
      <c r="N72" s="297">
        <f>IF(E72="A",'HS - Lane and Step Schedule'!B$25,IF(E72="B",'HS - Lane and Step Schedule'!D$25,IF(E72="C",'HS - Lane and Step Schedule'!F$25,IF(E72="D",'HS - Lane and Step Schedule'!H$25,IF(E72="E",'HS - Lane and Step Schedule'!J$25,IF(E72="F",'HS - Lane and Step Schedule'!L$25,IF(E72="G",'HS - Lane and Step Schedule'!N$25,IF(E72="H",'HS - Lane and Step Schedule'!P$25,IF(E72="I",'HS - Lane and Step Schedule'!R$25,IF(E72="J",'HS - Lane and Step Schedule'!T$25))))))))))</f>
        <v>0.11687527350468901</v>
      </c>
      <c r="O72" s="307">
        <f t="shared" ref="O72:O89" si="88">+$U$4*N72</f>
        <v>4620.6721192770256</v>
      </c>
      <c r="P72" s="319">
        <v>1</v>
      </c>
      <c r="Q72" s="296">
        <v>1</v>
      </c>
      <c r="R72" s="298">
        <f t="shared" ref="R72:R89" si="89">ROUND($U$4*Q72*L72,0)</f>
        <v>4485</v>
      </c>
      <c r="S72" s="298">
        <f>+R72+R73</f>
        <v>10091</v>
      </c>
      <c r="T72" s="298">
        <f>+S72*0.3134</f>
        <v>3162.5194000000001</v>
      </c>
      <c r="U72" s="298">
        <f>+S72+T72</f>
        <v>13253.519400000001</v>
      </c>
      <c r="V72" s="302"/>
      <c r="X72" s="252" t="str">
        <f t="shared" ref="X72" si="90">+A72</f>
        <v>Track - Boys</v>
      </c>
      <c r="Y72" s="252" t="str">
        <f t="shared" si="6"/>
        <v>Head Coach</v>
      </c>
      <c r="Z72" s="323">
        <f t="shared" si="7"/>
        <v>3874.1205794399998</v>
      </c>
      <c r="AA72" s="323">
        <f t="shared" si="8"/>
        <v>4620.6721192770256</v>
      </c>
    </row>
    <row r="73" spans="1:32" ht="19.95" customHeight="1" thickBot="1" x14ac:dyDescent="0.35">
      <c r="A73" s="408"/>
      <c r="B73" s="413"/>
      <c r="C73" s="367" t="s">
        <v>56</v>
      </c>
      <c r="D73" s="304">
        <f t="shared" si="85"/>
        <v>4</v>
      </c>
      <c r="E73" s="317" t="s">
        <v>23</v>
      </c>
      <c r="F73" s="368"/>
      <c r="G73" s="402"/>
      <c r="H73" s="404"/>
      <c r="I73" s="348"/>
      <c r="J73" s="303">
        <f>IF(E73="A",'HS - Lane and Step Schedule'!B$7,IF(E73="B",'HS - Lane and Step Schedule'!D$7,IF(E73="C",'HS - Lane and Step Schedule'!F$7,IF(E73="D",'HS - Lane and Step Schedule'!H$7,IF(E73="E",'HS - Lane and Step Schedule'!J$7,IF(E73="F",'HS - Lane and Step Schedule'!L$7,IF(E73="G",'HS - Lane and Step Schedule'!N$7,IF(E73="H",'HS - Lane and Step Schedule'!P$7,IF(E73="I",'HS - Lane and Step Schedule'!R$7,IF(E73="J",'HS - Lane and Step Schedule'!T$7))))))))))</f>
        <v>6.1245000000000001E-2</v>
      </c>
      <c r="K73" s="308">
        <f t="shared" si="86"/>
        <v>2421.3253621499998</v>
      </c>
      <c r="L73" s="303">
        <f>IF(E73="A",'HS - Lane and Step Schedule'!B$16,IF(E73="B",'HS - Lane and Step Schedule'!D$16,IF(E73="C",'HS - Lane and Step Schedule'!F$16,IF(E73="D",'HS - Lane and Step Schedule'!H$16,IF(E73="E",'HS - Lane and Step Schedule'!J$16,IF(E73="F",'HS - Lane and Step Schedule'!L$16,IF(E73="G",'HS - Lane and Step Schedule'!N$16,IF(E73="H",'HS - Lane and Step Schedule'!P$16,IF(E73="I",'HS - Lane and Step Schedule'!R$16,IF(E73="J",'HS - Lane and Step Schedule'!T$16))))))))))</f>
        <v>7.0898743125000011E-2</v>
      </c>
      <c r="M73" s="308">
        <f t="shared" si="87"/>
        <v>2802.9867723588941</v>
      </c>
      <c r="N73" s="303">
        <f>IF(E73="A",'HS - Lane and Step Schedule'!B$25,IF(E73="B",'HS - Lane and Step Schedule'!D$25,IF(E73="C",'HS - Lane and Step Schedule'!F$25,IF(E73="D",'HS - Lane and Step Schedule'!H$25,IF(E73="E",'HS - Lane and Step Schedule'!J$25,IF(E73="F",'HS - Lane and Step Schedule'!L$25,IF(E73="G",'HS - Lane and Step Schedule'!N$25,IF(E73="H",'HS - Lane and Step Schedule'!P$25,IF(E73="I",'HS - Lane and Step Schedule'!R$25,IF(E73="J",'HS - Lane and Step Schedule'!T$25))))))))))</f>
        <v>7.3047045940430641E-2</v>
      </c>
      <c r="O73" s="308">
        <f t="shared" si="88"/>
        <v>2887.9200745481412</v>
      </c>
      <c r="P73" s="320">
        <v>4</v>
      </c>
      <c r="Q73" s="305">
        <v>2</v>
      </c>
      <c r="R73" s="309">
        <f t="shared" si="89"/>
        <v>5606</v>
      </c>
      <c r="S73" s="309"/>
      <c r="T73" s="310"/>
      <c r="U73" s="310"/>
      <c r="V73" s="306"/>
      <c r="X73" s="252" t="str">
        <f t="shared" ref="X73" si="91">+A72</f>
        <v>Track - Boys</v>
      </c>
      <c r="Y73" s="252" t="str">
        <f t="shared" si="6"/>
        <v>Assistant Coach</v>
      </c>
      <c r="Z73" s="323">
        <f t="shared" si="7"/>
        <v>2421.3253621499998</v>
      </c>
      <c r="AA73" s="323">
        <f t="shared" si="8"/>
        <v>2887.9200745481412</v>
      </c>
    </row>
    <row r="74" spans="1:32" ht="19.95" customHeight="1" x14ac:dyDescent="0.3">
      <c r="A74" s="407" t="s">
        <v>11</v>
      </c>
      <c r="B74" s="409">
        <f>+S74</f>
        <v>10091</v>
      </c>
      <c r="C74" s="365" t="s">
        <v>57</v>
      </c>
      <c r="D74" s="313">
        <f t="shared" si="85"/>
        <v>1</v>
      </c>
      <c r="E74" s="316" t="s">
        <v>22</v>
      </c>
      <c r="F74" s="366"/>
      <c r="G74" s="401" t="s">
        <v>124</v>
      </c>
      <c r="H74" s="403" t="s">
        <v>257</v>
      </c>
      <c r="I74" s="348"/>
      <c r="J74" s="297">
        <f>IF(E74="A",'HS - Lane and Step Schedule'!B$7,IF(E74="B",'HS - Lane and Step Schedule'!D$7,IF(E74="C",'HS - Lane and Step Schedule'!F$7,IF(E74="D",'HS - Lane and Step Schedule'!H$7,IF(E74="E",'HS - Lane and Step Schedule'!J$7,IF(E74="F",'HS - Lane and Step Schedule'!L$7,IF(E74="G",'HS - Lane and Step Schedule'!N$7,IF(E74="H",'HS - Lane and Step Schedule'!P$7,IF(E74="I",'HS - Lane and Step Schedule'!R$7,IF(E74="J",'HS - Lane and Step Schedule'!T$7))))))))))</f>
        <v>9.7991999999999996E-2</v>
      </c>
      <c r="K74" s="307">
        <f t="shared" si="86"/>
        <v>3874.1205794399998</v>
      </c>
      <c r="L74" s="297">
        <f>IF(E74="A",'HS - Lane and Step Schedule'!B$16,IF(E74="B",'HS - Lane and Step Schedule'!D$16,IF(E74="C",'HS - Lane and Step Schedule'!F$16,IF(E74="D",'HS - Lane and Step Schedule'!H$16,IF(E74="E",'HS - Lane and Step Schedule'!J$16,IF(E74="F",'HS - Lane and Step Schedule'!L$16,IF(E74="G",'HS - Lane and Step Schedule'!N$16,IF(E74="H",'HS - Lane and Step Schedule'!P$16,IF(E74="I",'HS - Lane and Step Schedule'!R$16,IF(E74="J",'HS - Lane and Step Schedule'!T$16))))))))))</f>
        <v>0.11343798900000002</v>
      </c>
      <c r="M74" s="307">
        <f t="shared" si="87"/>
        <v>4484.7788357742311</v>
      </c>
      <c r="N74" s="297">
        <f>IF(E74="A",'HS - Lane and Step Schedule'!B$25,IF(E74="B",'HS - Lane and Step Schedule'!D$25,IF(E74="C",'HS - Lane and Step Schedule'!F$25,IF(E74="D",'HS - Lane and Step Schedule'!H$25,IF(E74="E",'HS - Lane and Step Schedule'!J$25,IF(E74="F",'HS - Lane and Step Schedule'!L$25,IF(E74="G",'HS - Lane and Step Schedule'!N$25,IF(E74="H",'HS - Lane and Step Schedule'!P$25,IF(E74="I",'HS - Lane and Step Schedule'!R$25,IF(E74="J",'HS - Lane and Step Schedule'!T$25))))))))))</f>
        <v>0.11687527350468901</v>
      </c>
      <c r="O74" s="307">
        <f t="shared" si="88"/>
        <v>4620.6721192770256</v>
      </c>
      <c r="P74" s="319">
        <v>1</v>
      </c>
      <c r="Q74" s="296">
        <v>1</v>
      </c>
      <c r="R74" s="298">
        <f t="shared" si="89"/>
        <v>4485</v>
      </c>
      <c r="S74" s="298">
        <f>+R74+R75</f>
        <v>10091</v>
      </c>
      <c r="T74" s="298">
        <f>+S74*0.3134</f>
        <v>3162.5194000000001</v>
      </c>
      <c r="U74" s="298">
        <f>+S74+T74</f>
        <v>13253.519400000001</v>
      </c>
      <c r="V74" s="302"/>
      <c r="X74" s="252" t="str">
        <f t="shared" ref="X74" si="92">+A74</f>
        <v>Track - Girls</v>
      </c>
      <c r="Y74" s="252" t="str">
        <f t="shared" ref="Y74:Y89" si="93">+C74</f>
        <v>Head Coach</v>
      </c>
      <c r="Z74" s="323">
        <f t="shared" ref="Z74:Z89" si="94">+K74</f>
        <v>3874.1205794399998</v>
      </c>
      <c r="AA74" s="323">
        <f t="shared" ref="AA74:AA89" si="95">+O74</f>
        <v>4620.6721192770256</v>
      </c>
    </row>
    <row r="75" spans="1:32" ht="19.95" customHeight="1" thickBot="1" x14ac:dyDescent="0.35">
      <c r="A75" s="408"/>
      <c r="B75" s="413"/>
      <c r="C75" s="367" t="s">
        <v>56</v>
      </c>
      <c r="D75" s="304">
        <f t="shared" si="85"/>
        <v>4</v>
      </c>
      <c r="E75" s="317" t="s">
        <v>23</v>
      </c>
      <c r="F75" s="368"/>
      <c r="G75" s="402"/>
      <c r="H75" s="404"/>
      <c r="I75" s="348"/>
      <c r="J75" s="303">
        <f>IF(E75="A",'HS - Lane and Step Schedule'!B$7,IF(E75="B",'HS - Lane and Step Schedule'!D$7,IF(E75="C",'HS - Lane and Step Schedule'!F$7,IF(E75="D",'HS - Lane and Step Schedule'!H$7,IF(E75="E",'HS - Lane and Step Schedule'!J$7,IF(E75="F",'HS - Lane and Step Schedule'!L$7,IF(E75="G",'HS - Lane and Step Schedule'!N$7,IF(E75="H",'HS - Lane and Step Schedule'!P$7,IF(E75="I",'HS - Lane and Step Schedule'!R$7,IF(E75="J",'HS - Lane and Step Schedule'!T$7))))))))))</f>
        <v>6.1245000000000001E-2</v>
      </c>
      <c r="K75" s="308">
        <f t="shared" si="86"/>
        <v>2421.3253621499998</v>
      </c>
      <c r="L75" s="303">
        <f>IF(E75="A",'HS - Lane and Step Schedule'!B$16,IF(E75="B",'HS - Lane and Step Schedule'!D$16,IF(E75="C",'HS - Lane and Step Schedule'!F$16,IF(E75="D",'HS - Lane and Step Schedule'!H$16,IF(E75="E",'HS - Lane and Step Schedule'!J$16,IF(E75="F",'HS - Lane and Step Schedule'!L$16,IF(E75="G",'HS - Lane and Step Schedule'!N$16,IF(E75="H",'HS - Lane and Step Schedule'!P$16,IF(E75="I",'HS - Lane and Step Schedule'!R$16,IF(E75="J",'HS - Lane and Step Schedule'!T$16))))))))))</f>
        <v>7.0898743125000011E-2</v>
      </c>
      <c r="M75" s="308">
        <f t="shared" si="87"/>
        <v>2802.9867723588941</v>
      </c>
      <c r="N75" s="303">
        <f>IF(E75="A",'HS - Lane and Step Schedule'!B$25,IF(E75="B",'HS - Lane and Step Schedule'!D$25,IF(E75="C",'HS - Lane and Step Schedule'!F$25,IF(E75="D",'HS - Lane and Step Schedule'!H$25,IF(E75="E",'HS - Lane and Step Schedule'!J$25,IF(E75="F",'HS - Lane and Step Schedule'!L$25,IF(E75="G",'HS - Lane and Step Schedule'!N$25,IF(E75="H",'HS - Lane and Step Schedule'!P$25,IF(E75="I",'HS - Lane and Step Schedule'!R$25,IF(E75="J",'HS - Lane and Step Schedule'!T$25))))))))))</f>
        <v>7.3047045940430641E-2</v>
      </c>
      <c r="O75" s="308">
        <f t="shared" si="88"/>
        <v>2887.9200745481412</v>
      </c>
      <c r="P75" s="320">
        <v>4</v>
      </c>
      <c r="Q75" s="305">
        <v>2</v>
      </c>
      <c r="R75" s="309">
        <f t="shared" si="89"/>
        <v>5606</v>
      </c>
      <c r="S75" s="309"/>
      <c r="T75" s="310"/>
      <c r="U75" s="310"/>
      <c r="V75" s="306"/>
      <c r="X75" s="252" t="str">
        <f t="shared" ref="X75" si="96">+A74</f>
        <v>Track - Girls</v>
      </c>
      <c r="Y75" s="252" t="str">
        <f t="shared" si="93"/>
        <v>Assistant Coach</v>
      </c>
      <c r="Z75" s="323">
        <f t="shared" si="94"/>
        <v>2421.3253621499998</v>
      </c>
      <c r="AA75" s="323">
        <f t="shared" si="95"/>
        <v>2887.9200745481412</v>
      </c>
    </row>
    <row r="76" spans="1:32" ht="19.95" customHeight="1" x14ac:dyDescent="0.3">
      <c r="A76" s="407" t="s">
        <v>269</v>
      </c>
      <c r="B76" s="409">
        <f>+S76</f>
        <v>12894</v>
      </c>
      <c r="C76" s="365" t="s">
        <v>57</v>
      </c>
      <c r="D76" s="313">
        <f t="shared" ref="D76:D77" si="97">+P76</f>
        <v>1</v>
      </c>
      <c r="E76" s="316" t="s">
        <v>22</v>
      </c>
      <c r="F76" s="366"/>
      <c r="G76" s="401" t="s">
        <v>124</v>
      </c>
      <c r="H76" s="403" t="s">
        <v>257</v>
      </c>
      <c r="I76" s="348"/>
      <c r="J76" s="297">
        <f>IF(E76="A",'HS - Lane and Step Schedule'!B$7,IF(E76="B",'HS - Lane and Step Schedule'!D$7,IF(E76="C",'HS - Lane and Step Schedule'!F$7,IF(E76="D",'HS - Lane and Step Schedule'!H$7,IF(E76="E",'HS - Lane and Step Schedule'!J$7,IF(E76="F",'HS - Lane and Step Schedule'!L$7,IF(E76="G",'HS - Lane and Step Schedule'!N$7,IF(E76="H",'HS - Lane and Step Schedule'!P$7,IF(E76="I",'HS - Lane and Step Schedule'!R$7,IF(E76="J",'HS - Lane and Step Schedule'!T$7))))))))))</f>
        <v>9.7991999999999996E-2</v>
      </c>
      <c r="K76" s="307">
        <f t="shared" ref="K76:K77" si="98">+$U$4*J76</f>
        <v>3874.1205794399998</v>
      </c>
      <c r="L76" s="297">
        <f>IF(E76="A",'HS - Lane and Step Schedule'!B$16,IF(E76="B",'HS - Lane and Step Schedule'!D$16,IF(E76="C",'HS - Lane and Step Schedule'!F$16,IF(E76="D",'HS - Lane and Step Schedule'!H$16,IF(E76="E",'HS - Lane and Step Schedule'!J$16,IF(E76="F",'HS - Lane and Step Schedule'!L$16,IF(E76="G",'HS - Lane and Step Schedule'!N$16,IF(E76="H",'HS - Lane and Step Schedule'!P$16,IF(E76="I",'HS - Lane and Step Schedule'!R$16,IF(E76="J",'HS - Lane and Step Schedule'!T$16))))))))))</f>
        <v>0.11343798900000002</v>
      </c>
      <c r="M76" s="307">
        <f t="shared" ref="M76:M77" si="99">+$U$4*L76</f>
        <v>4484.7788357742311</v>
      </c>
      <c r="N76" s="297">
        <f>IF(E76="A",'HS - Lane and Step Schedule'!B$25,IF(E76="B",'HS - Lane and Step Schedule'!D$25,IF(E76="C",'HS - Lane and Step Schedule'!F$25,IF(E76="D",'HS - Lane and Step Schedule'!H$25,IF(E76="E",'HS - Lane and Step Schedule'!J$25,IF(E76="F",'HS - Lane and Step Schedule'!L$25,IF(E76="G",'HS - Lane and Step Schedule'!N$25,IF(E76="H",'HS - Lane and Step Schedule'!P$25,IF(E76="I",'HS - Lane and Step Schedule'!R$25,IF(E76="J",'HS - Lane and Step Schedule'!T$25))))))))))</f>
        <v>0.11687527350468901</v>
      </c>
      <c r="O76" s="307">
        <f t="shared" ref="O76:O77" si="100">+$U$4*N76</f>
        <v>4620.6721192770256</v>
      </c>
      <c r="P76" s="319">
        <v>1</v>
      </c>
      <c r="Q76" s="296">
        <v>1</v>
      </c>
      <c r="R76" s="298">
        <f t="shared" ref="R76:R77" si="101">ROUND($U$4*Q76*L76,0)</f>
        <v>4485</v>
      </c>
      <c r="S76" s="298">
        <f>+R76+R77</f>
        <v>12894</v>
      </c>
      <c r="T76" s="298">
        <f>+S76*0.3134</f>
        <v>4040.9796000000001</v>
      </c>
      <c r="U76" s="298">
        <f>+S76+T76</f>
        <v>16934.979599999999</v>
      </c>
      <c r="V76" s="331"/>
      <c r="X76" s="252" t="str">
        <f t="shared" ref="X76" si="102">+A76</f>
        <v>Volleyball - Boys</v>
      </c>
      <c r="Y76" s="252" t="str">
        <f t="shared" si="93"/>
        <v>Head Coach</v>
      </c>
      <c r="Z76" s="323">
        <f t="shared" si="94"/>
        <v>3874.1205794399998</v>
      </c>
      <c r="AA76" s="323">
        <f t="shared" si="95"/>
        <v>4620.6721192770256</v>
      </c>
    </row>
    <row r="77" spans="1:32" ht="19.95" customHeight="1" thickBot="1" x14ac:dyDescent="0.35">
      <c r="A77" s="408"/>
      <c r="B77" s="413"/>
      <c r="C77" s="367" t="s">
        <v>56</v>
      </c>
      <c r="D77" s="304">
        <f t="shared" si="97"/>
        <v>7</v>
      </c>
      <c r="E77" s="317" t="s">
        <v>23</v>
      </c>
      <c r="F77" s="368"/>
      <c r="G77" s="402"/>
      <c r="H77" s="404"/>
      <c r="I77" s="348"/>
      <c r="J77" s="303">
        <f>IF(E77="A",'HS - Lane and Step Schedule'!B$7,IF(E77="B",'HS - Lane and Step Schedule'!D$7,IF(E77="C",'HS - Lane and Step Schedule'!F$7,IF(E77="D",'HS - Lane and Step Schedule'!H$7,IF(E77="E",'HS - Lane and Step Schedule'!J$7,IF(E77="F",'HS - Lane and Step Schedule'!L$7,IF(E77="G",'HS - Lane and Step Schedule'!N$7,IF(E77="H",'HS - Lane and Step Schedule'!P$7,IF(E77="I",'HS - Lane and Step Schedule'!R$7,IF(E77="J",'HS - Lane and Step Schedule'!T$7))))))))))</f>
        <v>6.1245000000000001E-2</v>
      </c>
      <c r="K77" s="308">
        <f t="shared" si="98"/>
        <v>2421.3253621499998</v>
      </c>
      <c r="L77" s="303">
        <f>IF(E77="A",'HS - Lane and Step Schedule'!B$16,IF(E77="B",'HS - Lane and Step Schedule'!D$16,IF(E77="C",'HS - Lane and Step Schedule'!F$16,IF(E77="D",'HS - Lane and Step Schedule'!H$16,IF(E77="E",'HS - Lane and Step Schedule'!J$16,IF(E77="F",'HS - Lane and Step Schedule'!L$16,IF(E77="G",'HS - Lane and Step Schedule'!N$16,IF(E77="H",'HS - Lane and Step Schedule'!P$16,IF(E77="I",'HS - Lane and Step Schedule'!R$16,IF(E77="J",'HS - Lane and Step Schedule'!T$16))))))))))</f>
        <v>7.0898743125000011E-2</v>
      </c>
      <c r="M77" s="308">
        <f t="shared" si="99"/>
        <v>2802.9867723588941</v>
      </c>
      <c r="N77" s="303">
        <f>IF(E77="A",'HS - Lane and Step Schedule'!B$25,IF(E77="B",'HS - Lane and Step Schedule'!D$25,IF(E77="C",'HS - Lane and Step Schedule'!F$25,IF(E77="D",'HS - Lane and Step Schedule'!H$25,IF(E77="E",'HS - Lane and Step Schedule'!J$25,IF(E77="F",'HS - Lane and Step Schedule'!L$25,IF(E77="G",'HS - Lane and Step Schedule'!N$25,IF(E77="H",'HS - Lane and Step Schedule'!P$25,IF(E77="I",'HS - Lane and Step Schedule'!R$25,IF(E77="J",'HS - Lane and Step Schedule'!T$25))))))))))</f>
        <v>7.3047045940430641E-2</v>
      </c>
      <c r="O77" s="308">
        <f t="shared" si="100"/>
        <v>2887.9200745481412</v>
      </c>
      <c r="P77" s="320">
        <v>7</v>
      </c>
      <c r="Q77" s="305">
        <v>3</v>
      </c>
      <c r="R77" s="309">
        <f t="shared" si="101"/>
        <v>8409</v>
      </c>
      <c r="S77" s="309"/>
      <c r="T77" s="310"/>
      <c r="U77" s="310"/>
      <c r="V77" s="331"/>
      <c r="X77" s="252" t="str">
        <f t="shared" ref="X77" si="103">+A76</f>
        <v>Volleyball - Boys</v>
      </c>
      <c r="Y77" s="252" t="str">
        <f t="shared" si="93"/>
        <v>Assistant Coach</v>
      </c>
      <c r="Z77" s="323">
        <f t="shared" si="94"/>
        <v>2421.3253621499998</v>
      </c>
      <c r="AA77" s="323">
        <f t="shared" si="95"/>
        <v>2887.9200745481412</v>
      </c>
    </row>
    <row r="78" spans="1:32" ht="19.95" customHeight="1" x14ac:dyDescent="0.3">
      <c r="A78" s="407" t="s">
        <v>268</v>
      </c>
      <c r="B78" s="409">
        <f>+S78</f>
        <v>12894</v>
      </c>
      <c r="C78" s="365" t="s">
        <v>57</v>
      </c>
      <c r="D78" s="313">
        <f t="shared" si="85"/>
        <v>1</v>
      </c>
      <c r="E78" s="316" t="s">
        <v>22</v>
      </c>
      <c r="F78" s="366"/>
      <c r="G78" s="401" t="s">
        <v>122</v>
      </c>
      <c r="H78" s="403" t="s">
        <v>259</v>
      </c>
      <c r="I78" s="348"/>
      <c r="J78" s="297">
        <f>IF(E78="A",'HS - Lane and Step Schedule'!B$7,IF(E78="B",'HS - Lane and Step Schedule'!D$7,IF(E78="C",'HS - Lane and Step Schedule'!F$7,IF(E78="D",'HS - Lane and Step Schedule'!H$7,IF(E78="E",'HS - Lane and Step Schedule'!J$7,IF(E78="F",'HS - Lane and Step Schedule'!L$7,IF(E78="G",'HS - Lane and Step Schedule'!N$7,IF(E78="H",'HS - Lane and Step Schedule'!P$7,IF(E78="I",'HS - Lane and Step Schedule'!R$7,IF(E78="J",'HS - Lane and Step Schedule'!T$7))))))))))</f>
        <v>9.7991999999999996E-2</v>
      </c>
      <c r="K78" s="307">
        <f t="shared" si="86"/>
        <v>3874.1205794399998</v>
      </c>
      <c r="L78" s="297">
        <f>IF(E78="A",'HS - Lane and Step Schedule'!B$16,IF(E78="B",'HS - Lane and Step Schedule'!D$16,IF(E78="C",'HS - Lane and Step Schedule'!F$16,IF(E78="D",'HS - Lane and Step Schedule'!H$16,IF(E78="E",'HS - Lane and Step Schedule'!J$16,IF(E78="F",'HS - Lane and Step Schedule'!L$16,IF(E78="G",'HS - Lane and Step Schedule'!N$16,IF(E78="H",'HS - Lane and Step Schedule'!P$16,IF(E78="I",'HS - Lane and Step Schedule'!R$16,IF(E78="J",'HS - Lane and Step Schedule'!T$16))))))))))</f>
        <v>0.11343798900000002</v>
      </c>
      <c r="M78" s="307">
        <f t="shared" si="87"/>
        <v>4484.7788357742311</v>
      </c>
      <c r="N78" s="297">
        <f>IF(E78="A",'HS - Lane and Step Schedule'!B$25,IF(E78="B",'HS - Lane and Step Schedule'!D$25,IF(E78="C",'HS - Lane and Step Schedule'!F$25,IF(E78="D",'HS - Lane and Step Schedule'!H$25,IF(E78="E",'HS - Lane and Step Schedule'!J$25,IF(E78="F",'HS - Lane and Step Schedule'!L$25,IF(E78="G",'HS - Lane and Step Schedule'!N$25,IF(E78="H",'HS - Lane and Step Schedule'!P$25,IF(E78="I",'HS - Lane and Step Schedule'!R$25,IF(E78="J",'HS - Lane and Step Schedule'!T$25))))))))))</f>
        <v>0.11687527350468901</v>
      </c>
      <c r="O78" s="307">
        <f t="shared" si="88"/>
        <v>4620.6721192770256</v>
      </c>
      <c r="P78" s="319">
        <v>1</v>
      </c>
      <c r="Q78" s="296">
        <v>1</v>
      </c>
      <c r="R78" s="298">
        <f t="shared" si="89"/>
        <v>4485</v>
      </c>
      <c r="S78" s="298">
        <f>+R78+R79</f>
        <v>12894</v>
      </c>
      <c r="T78" s="298">
        <f>+S78*0.3134</f>
        <v>4040.9796000000001</v>
      </c>
      <c r="U78" s="298">
        <f>+S78+T78</f>
        <v>16934.979599999999</v>
      </c>
      <c r="V78" s="302"/>
      <c r="X78" s="252" t="str">
        <f t="shared" ref="X78" si="104">+A78</f>
        <v>Volleyball - Girls</v>
      </c>
      <c r="Y78" s="252" t="str">
        <f t="shared" si="93"/>
        <v>Head Coach</v>
      </c>
      <c r="Z78" s="323">
        <f t="shared" si="94"/>
        <v>3874.1205794399998</v>
      </c>
      <c r="AA78" s="323">
        <f t="shared" si="95"/>
        <v>4620.6721192770256</v>
      </c>
    </row>
    <row r="79" spans="1:32" ht="19.95" customHeight="1" thickBot="1" x14ac:dyDescent="0.35">
      <c r="A79" s="408"/>
      <c r="B79" s="413"/>
      <c r="C79" s="367" t="s">
        <v>56</v>
      </c>
      <c r="D79" s="304">
        <f t="shared" si="85"/>
        <v>7</v>
      </c>
      <c r="E79" s="317" t="s">
        <v>23</v>
      </c>
      <c r="F79" s="368"/>
      <c r="G79" s="402"/>
      <c r="H79" s="404"/>
      <c r="I79" s="348"/>
      <c r="J79" s="303">
        <f>IF(E79="A",'HS - Lane and Step Schedule'!B$7,IF(E79="B",'HS - Lane and Step Schedule'!D$7,IF(E79="C",'HS - Lane and Step Schedule'!F$7,IF(E79="D",'HS - Lane and Step Schedule'!H$7,IF(E79="E",'HS - Lane and Step Schedule'!J$7,IF(E79="F",'HS - Lane and Step Schedule'!L$7,IF(E79="G",'HS - Lane and Step Schedule'!N$7,IF(E79="H",'HS - Lane and Step Schedule'!P$7,IF(E79="I",'HS - Lane and Step Schedule'!R$7,IF(E79="J",'HS - Lane and Step Schedule'!T$7))))))))))</f>
        <v>6.1245000000000001E-2</v>
      </c>
      <c r="K79" s="308">
        <f t="shared" si="86"/>
        <v>2421.3253621499998</v>
      </c>
      <c r="L79" s="303">
        <f>IF(E79="A",'HS - Lane and Step Schedule'!B$16,IF(E79="B",'HS - Lane and Step Schedule'!D$16,IF(E79="C",'HS - Lane and Step Schedule'!F$16,IF(E79="D",'HS - Lane and Step Schedule'!H$16,IF(E79="E",'HS - Lane and Step Schedule'!J$16,IF(E79="F",'HS - Lane and Step Schedule'!L$16,IF(E79="G",'HS - Lane and Step Schedule'!N$16,IF(E79="H",'HS - Lane and Step Schedule'!P$16,IF(E79="I",'HS - Lane and Step Schedule'!R$16,IF(E79="J",'HS - Lane and Step Schedule'!T$16))))))))))</f>
        <v>7.0898743125000011E-2</v>
      </c>
      <c r="M79" s="308">
        <f t="shared" si="87"/>
        <v>2802.9867723588941</v>
      </c>
      <c r="N79" s="303">
        <f>IF(E79="A",'HS - Lane and Step Schedule'!B$25,IF(E79="B",'HS - Lane and Step Schedule'!D$25,IF(E79="C",'HS - Lane and Step Schedule'!F$25,IF(E79="D",'HS - Lane and Step Schedule'!H$25,IF(E79="E",'HS - Lane and Step Schedule'!J$25,IF(E79="F",'HS - Lane and Step Schedule'!L$25,IF(E79="G",'HS - Lane and Step Schedule'!N$25,IF(E79="H",'HS - Lane and Step Schedule'!P$25,IF(E79="I",'HS - Lane and Step Schedule'!R$25,IF(E79="J",'HS - Lane and Step Schedule'!T$25))))))))))</f>
        <v>7.3047045940430641E-2</v>
      </c>
      <c r="O79" s="308">
        <f t="shared" si="88"/>
        <v>2887.9200745481412</v>
      </c>
      <c r="P79" s="320">
        <v>7</v>
      </c>
      <c r="Q79" s="305">
        <v>3</v>
      </c>
      <c r="R79" s="309">
        <f t="shared" si="89"/>
        <v>8409</v>
      </c>
      <c r="S79" s="309"/>
      <c r="T79" s="310"/>
      <c r="U79" s="310"/>
      <c r="V79" s="306"/>
      <c r="X79" s="252" t="str">
        <f t="shared" ref="X79" si="105">+A78</f>
        <v>Volleyball - Girls</v>
      </c>
      <c r="Y79" s="252" t="str">
        <f t="shared" si="93"/>
        <v>Assistant Coach</v>
      </c>
      <c r="Z79" s="323">
        <f t="shared" si="94"/>
        <v>2421.3253621499998</v>
      </c>
      <c r="AA79" s="323">
        <f t="shared" si="95"/>
        <v>2887.9200745481412</v>
      </c>
    </row>
    <row r="80" spans="1:32" ht="19.95" customHeight="1" x14ac:dyDescent="0.3">
      <c r="A80" s="407" t="s">
        <v>286</v>
      </c>
      <c r="B80" s="409">
        <f>+S80</f>
        <v>0</v>
      </c>
      <c r="C80" s="365" t="s">
        <v>58</v>
      </c>
      <c r="D80" s="313">
        <f t="shared" si="85"/>
        <v>1</v>
      </c>
      <c r="E80" s="316" t="s">
        <v>5</v>
      </c>
      <c r="F80" s="369"/>
      <c r="G80" s="401" t="s">
        <v>123</v>
      </c>
      <c r="H80" s="403" t="s">
        <v>258</v>
      </c>
      <c r="I80" s="348"/>
      <c r="J80" s="297">
        <f>IF(E80="A",'HS - Lane and Step Schedule'!B$7,IF(E80="B",'HS - Lane and Step Schedule'!D$7,IF(E80="C",'HS - Lane and Step Schedule'!F$7,IF(E80="D",'HS - Lane and Step Schedule'!H$7,IF(E80="E",'HS - Lane and Step Schedule'!J$7,IF(E80="F",'HS - Lane and Step Schedule'!L$7,IF(E80="G",'HS - Lane and Step Schedule'!N$7,IF(E80="H",'HS - Lane and Step Schedule'!P$7,IF(E80="I",'HS - Lane and Step Schedule'!R$7,IF(E80="J",'HS - Lane and Step Schedule'!T$7))))))))))</f>
        <v>6.6688999999999998E-2</v>
      </c>
      <c r="K80" s="307">
        <f t="shared" si="86"/>
        <v>2636.5542832299998</v>
      </c>
      <c r="L80" s="297">
        <f>IF(E80="A",'HS - Lane and Step Schedule'!B$16,IF(E80="B",'HS - Lane and Step Schedule'!D$16,IF(E80="C",'HS - Lane and Step Schedule'!F$16,IF(E80="D",'HS - Lane and Step Schedule'!H$16,IF(E80="E",'HS - Lane and Step Schedule'!J$16,IF(E80="F",'HS - Lane and Step Schedule'!L$16,IF(E80="G",'HS - Lane and Step Schedule'!N$16,IF(E80="H",'HS - Lane and Step Schedule'!P$16,IF(E80="I",'HS - Lane and Step Schedule'!R$16,IF(E80="J",'HS - Lane and Step Schedule'!T$16))))))))))</f>
        <v>7.7200853624999996E-2</v>
      </c>
      <c r="M80" s="307">
        <f t="shared" si="87"/>
        <v>3052.1411521241284</v>
      </c>
      <c r="N80" s="297">
        <f>IF(E80="A",'HS - Lane and Step Schedule'!B$25,IF(E80="B",'HS - Lane and Step Schedule'!D$25,IF(E80="C",'HS - Lane and Step Schedule'!F$25,IF(E80="D",'HS - Lane and Step Schedule'!H$25,IF(E80="E",'HS - Lane and Step Schedule'!J$25,IF(E80="F",'HS - Lane and Step Schedule'!L$25,IF(E80="G",'HS - Lane and Step Schedule'!N$25,IF(E80="H",'HS - Lane and Step Schedule'!P$25,IF(E80="I",'HS - Lane and Step Schedule'!R$25,IF(E80="J",'HS - Lane and Step Schedule'!T$25))))))))))</f>
        <v>7.9540116690691137E-2</v>
      </c>
      <c r="O80" s="307">
        <f t="shared" si="88"/>
        <v>3144.6240811746425</v>
      </c>
      <c r="P80" s="319">
        <v>1</v>
      </c>
      <c r="Q80" s="296">
        <v>0</v>
      </c>
      <c r="R80" s="298">
        <f t="shared" si="89"/>
        <v>0</v>
      </c>
      <c r="S80" s="298">
        <f>+R80+R81</f>
        <v>0</v>
      </c>
      <c r="T80" s="298">
        <f>+S80*0.3134</f>
        <v>0</v>
      </c>
      <c r="U80" s="298">
        <f>+S80+T80</f>
        <v>0</v>
      </c>
      <c r="V80" s="302"/>
      <c r="W80" s="2"/>
      <c r="X80" s="252" t="str">
        <f t="shared" ref="X80" si="106">+A80</f>
        <v>Winter Drum Line</v>
      </c>
      <c r="Y80" s="252" t="str">
        <f t="shared" si="93"/>
        <v>Head Advisor</v>
      </c>
      <c r="Z80" s="323">
        <f t="shared" si="94"/>
        <v>2636.5542832299998</v>
      </c>
      <c r="AA80" s="323">
        <f t="shared" si="95"/>
        <v>3144.6240811746425</v>
      </c>
      <c r="AB80" s="2"/>
      <c r="AC80" s="2"/>
      <c r="AD80" s="2"/>
      <c r="AE80" s="2"/>
      <c r="AF80" s="2"/>
    </row>
    <row r="81" spans="1:32" ht="19.95" customHeight="1" thickBot="1" x14ac:dyDescent="0.35">
      <c r="A81" s="408"/>
      <c r="B81" s="413"/>
      <c r="C81" s="367" t="s">
        <v>59</v>
      </c>
      <c r="D81" s="304">
        <f t="shared" si="85"/>
        <v>1</v>
      </c>
      <c r="E81" s="317" t="s">
        <v>47</v>
      </c>
      <c r="F81" s="368"/>
      <c r="G81" s="402"/>
      <c r="H81" s="404"/>
      <c r="I81" s="348"/>
      <c r="J81" s="303">
        <f>IF(E81="A",'HS - Lane and Step Schedule'!B$7,IF(E81="B",'HS - Lane and Step Schedule'!D$7,IF(E81="C",'HS - Lane and Step Schedule'!F$7,IF(E81="D",'HS - Lane and Step Schedule'!H$7,IF(E81="E",'HS - Lane and Step Schedule'!J$7,IF(E81="F",'HS - Lane and Step Schedule'!L$7,IF(E81="G",'HS - Lane and Step Schedule'!N$7,IF(E81="H",'HS - Lane and Step Schedule'!P$7,IF(E81="I",'HS - Lane and Step Schedule'!R$7,IF(E81="J",'HS - Lane and Step Schedule'!T$7))))))))))</f>
        <v>3.6747000000000002E-2</v>
      </c>
      <c r="K81" s="308">
        <f t="shared" si="86"/>
        <v>1452.79521729</v>
      </c>
      <c r="L81" s="303">
        <f>IF(E81="A",'HS - Lane and Step Schedule'!B$16,IF(E81="B",'HS - Lane and Step Schedule'!D$16,IF(E81="C",'HS - Lane and Step Schedule'!F$16,IF(E81="D",'HS - Lane and Step Schedule'!H$16,IF(E81="E",'HS - Lane and Step Schedule'!J$16,IF(E81="F",'HS - Lane and Step Schedule'!L$16,IF(E81="G",'HS - Lane and Step Schedule'!N$16,IF(E81="H",'HS - Lane and Step Schedule'!P$16,IF(E81="I",'HS - Lane and Step Schedule'!R$16,IF(E81="J",'HS - Lane and Step Schedule'!T$16))))))))))</f>
        <v>4.2539245875000006E-2</v>
      </c>
      <c r="M81" s="308">
        <f t="shared" si="87"/>
        <v>1681.7920634153365</v>
      </c>
      <c r="N81" s="303">
        <f>IF(E81="A",'HS - Lane and Step Schedule'!B$25,IF(E81="B",'HS - Lane and Step Schedule'!D$25,IF(E81="C",'HS - Lane and Step Schedule'!F$25,IF(E81="D",'HS - Lane and Step Schedule'!H$25,IF(E81="E",'HS - Lane and Step Schedule'!J$25,IF(E81="F",'HS - Lane and Step Schedule'!L$25,IF(E81="G",'HS - Lane and Step Schedule'!N$25,IF(E81="H",'HS - Lane and Step Schedule'!P$25,IF(E81="I",'HS - Lane and Step Schedule'!R$25,IF(E81="J",'HS - Lane and Step Schedule'!T$25))))))))))</f>
        <v>4.382822756425838E-2</v>
      </c>
      <c r="O81" s="308">
        <f t="shared" si="88"/>
        <v>1732.7520447288846</v>
      </c>
      <c r="P81" s="320">
        <v>1</v>
      </c>
      <c r="Q81" s="305">
        <v>0</v>
      </c>
      <c r="R81" s="309">
        <f t="shared" si="89"/>
        <v>0</v>
      </c>
      <c r="S81" s="309"/>
      <c r="T81" s="310"/>
      <c r="U81" s="310"/>
      <c r="V81" s="306"/>
      <c r="W81" s="2"/>
      <c r="X81" s="252" t="str">
        <f t="shared" ref="X81" si="107">+A80</f>
        <v>Winter Drum Line</v>
      </c>
      <c r="Y81" s="252" t="str">
        <f t="shared" si="93"/>
        <v>Assistant Advisor</v>
      </c>
      <c r="Z81" s="323">
        <f t="shared" si="94"/>
        <v>1452.79521729</v>
      </c>
      <c r="AA81" s="323">
        <f t="shared" si="95"/>
        <v>1732.7520447288846</v>
      </c>
      <c r="AB81" s="2"/>
      <c r="AC81" s="2"/>
      <c r="AD81" s="2"/>
      <c r="AE81" s="2"/>
      <c r="AF81" s="2"/>
    </row>
    <row r="82" spans="1:32" ht="19.95" customHeight="1" x14ac:dyDescent="0.3">
      <c r="A82" s="407" t="s">
        <v>245</v>
      </c>
      <c r="B82" s="409">
        <f>+S82</f>
        <v>0</v>
      </c>
      <c r="C82" s="365" t="s">
        <v>58</v>
      </c>
      <c r="D82" s="313">
        <f t="shared" si="85"/>
        <v>1</v>
      </c>
      <c r="E82" s="316" t="s">
        <v>5</v>
      </c>
      <c r="F82" s="369"/>
      <c r="G82" s="401" t="s">
        <v>123</v>
      </c>
      <c r="H82" s="403" t="s">
        <v>258</v>
      </c>
      <c r="I82" s="348"/>
      <c r="J82" s="297">
        <f>IF(E82="A",'HS - Lane and Step Schedule'!B$7,IF(E82="B",'HS - Lane and Step Schedule'!D$7,IF(E82="C",'HS - Lane and Step Schedule'!F$7,IF(E82="D",'HS - Lane and Step Schedule'!H$7,IF(E82="E",'HS - Lane and Step Schedule'!J$7,IF(E82="F",'HS - Lane and Step Schedule'!L$7,IF(E82="G",'HS - Lane and Step Schedule'!N$7,IF(E82="H",'HS - Lane and Step Schedule'!P$7,IF(E82="I",'HS - Lane and Step Schedule'!R$7,IF(E82="J",'HS - Lane and Step Schedule'!T$7))))))))))</f>
        <v>6.6688999999999998E-2</v>
      </c>
      <c r="K82" s="307">
        <f t="shared" si="86"/>
        <v>2636.5542832299998</v>
      </c>
      <c r="L82" s="297">
        <f>IF(E82="A",'HS - Lane and Step Schedule'!B$16,IF(E82="B",'HS - Lane and Step Schedule'!D$16,IF(E82="C",'HS - Lane and Step Schedule'!F$16,IF(E82="D",'HS - Lane and Step Schedule'!H$16,IF(E82="E",'HS - Lane and Step Schedule'!J$16,IF(E82="F",'HS - Lane and Step Schedule'!L$16,IF(E82="G",'HS - Lane and Step Schedule'!N$16,IF(E82="H",'HS - Lane and Step Schedule'!P$16,IF(E82="I",'HS - Lane and Step Schedule'!R$16,IF(E82="J",'HS - Lane and Step Schedule'!T$16))))))))))</f>
        <v>7.7200853624999996E-2</v>
      </c>
      <c r="M82" s="307">
        <f t="shared" si="87"/>
        <v>3052.1411521241284</v>
      </c>
      <c r="N82" s="297">
        <f>IF(E82="A",'HS - Lane and Step Schedule'!B$25,IF(E82="B",'HS - Lane and Step Schedule'!D$25,IF(E82="C",'HS - Lane and Step Schedule'!F$25,IF(E82="D",'HS - Lane and Step Schedule'!H$25,IF(E82="E",'HS - Lane and Step Schedule'!J$25,IF(E82="F",'HS - Lane and Step Schedule'!L$25,IF(E82="G",'HS - Lane and Step Schedule'!N$25,IF(E82="H",'HS - Lane and Step Schedule'!P$25,IF(E82="I",'HS - Lane and Step Schedule'!R$25,IF(E82="J",'HS - Lane and Step Schedule'!T$25))))))))))</f>
        <v>7.9540116690691137E-2</v>
      </c>
      <c r="O82" s="307">
        <f t="shared" si="88"/>
        <v>3144.6240811746425</v>
      </c>
      <c r="P82" s="319">
        <v>1</v>
      </c>
      <c r="Q82" s="296">
        <v>0</v>
      </c>
      <c r="R82" s="298">
        <f t="shared" si="89"/>
        <v>0</v>
      </c>
      <c r="S82" s="298">
        <f>+R82+R83</f>
        <v>0</v>
      </c>
      <c r="T82" s="298">
        <f>+S82*0.3134</f>
        <v>0</v>
      </c>
      <c r="U82" s="298">
        <f>+S82+T82</f>
        <v>0</v>
      </c>
      <c r="V82" s="302"/>
      <c r="X82" s="252" t="str">
        <f t="shared" ref="X82" si="108">+A82</f>
        <v>Winter Guard</v>
      </c>
      <c r="Y82" s="252" t="str">
        <f t="shared" si="93"/>
        <v>Head Advisor</v>
      </c>
      <c r="Z82" s="323">
        <f t="shared" si="94"/>
        <v>2636.5542832299998</v>
      </c>
      <c r="AA82" s="323">
        <f t="shared" si="95"/>
        <v>3144.6240811746425</v>
      </c>
    </row>
    <row r="83" spans="1:32" ht="19.95" customHeight="1" thickBot="1" x14ac:dyDescent="0.35">
      <c r="A83" s="408"/>
      <c r="B83" s="413"/>
      <c r="C83" s="367" t="s">
        <v>59</v>
      </c>
      <c r="D83" s="304">
        <f t="shared" si="85"/>
        <v>1</v>
      </c>
      <c r="E83" s="317" t="s">
        <v>47</v>
      </c>
      <c r="F83" s="368"/>
      <c r="G83" s="402"/>
      <c r="H83" s="404"/>
      <c r="I83" s="348"/>
      <c r="J83" s="303">
        <f>IF(E83="A",'HS - Lane and Step Schedule'!B$7,IF(E83="B",'HS - Lane and Step Schedule'!D$7,IF(E83="C",'HS - Lane and Step Schedule'!F$7,IF(E83="D",'HS - Lane and Step Schedule'!H$7,IF(E83="E",'HS - Lane and Step Schedule'!J$7,IF(E83="F",'HS - Lane and Step Schedule'!L$7,IF(E83="G",'HS - Lane and Step Schedule'!N$7,IF(E83="H",'HS - Lane and Step Schedule'!P$7,IF(E83="I",'HS - Lane and Step Schedule'!R$7,IF(E83="J",'HS - Lane and Step Schedule'!T$7))))))))))</f>
        <v>3.6747000000000002E-2</v>
      </c>
      <c r="K83" s="308">
        <f t="shared" si="86"/>
        <v>1452.79521729</v>
      </c>
      <c r="L83" s="303">
        <f>IF(E83="A",'HS - Lane and Step Schedule'!B$16,IF(E83="B",'HS - Lane and Step Schedule'!D$16,IF(E83="C",'HS - Lane and Step Schedule'!F$16,IF(E83="D",'HS - Lane and Step Schedule'!H$16,IF(E83="E",'HS - Lane and Step Schedule'!J$16,IF(E83="F",'HS - Lane and Step Schedule'!L$16,IF(E83="G",'HS - Lane and Step Schedule'!N$16,IF(E83="H",'HS - Lane and Step Schedule'!P$16,IF(E83="I",'HS - Lane and Step Schedule'!R$16,IF(E83="J",'HS - Lane and Step Schedule'!T$16))))))))))</f>
        <v>4.2539245875000006E-2</v>
      </c>
      <c r="M83" s="308">
        <f t="shared" si="87"/>
        <v>1681.7920634153365</v>
      </c>
      <c r="N83" s="303">
        <f>IF(E83="A",'HS - Lane and Step Schedule'!B$25,IF(E83="B",'HS - Lane and Step Schedule'!D$25,IF(E83="C",'HS - Lane and Step Schedule'!F$25,IF(E83="D",'HS - Lane and Step Schedule'!H$25,IF(E83="E",'HS - Lane and Step Schedule'!J$25,IF(E83="F",'HS - Lane and Step Schedule'!L$25,IF(E83="G",'HS - Lane and Step Schedule'!N$25,IF(E83="H",'HS - Lane and Step Schedule'!P$25,IF(E83="I",'HS - Lane and Step Schedule'!R$25,IF(E83="J",'HS - Lane and Step Schedule'!T$25))))))))))</f>
        <v>4.382822756425838E-2</v>
      </c>
      <c r="O83" s="308">
        <f t="shared" si="88"/>
        <v>1732.7520447288846</v>
      </c>
      <c r="P83" s="320">
        <v>1</v>
      </c>
      <c r="Q83" s="305">
        <v>0</v>
      </c>
      <c r="R83" s="309">
        <f t="shared" si="89"/>
        <v>0</v>
      </c>
      <c r="S83" s="309"/>
      <c r="T83" s="310"/>
      <c r="U83" s="310"/>
      <c r="V83" s="306"/>
      <c r="X83" s="252" t="str">
        <f t="shared" ref="X83" si="109">+A82</f>
        <v>Winter Guard</v>
      </c>
      <c r="Y83" s="252" t="str">
        <f t="shared" si="93"/>
        <v>Assistant Advisor</v>
      </c>
      <c r="Z83" s="323">
        <f t="shared" si="94"/>
        <v>1452.79521729</v>
      </c>
      <c r="AA83" s="323">
        <f t="shared" si="95"/>
        <v>1732.7520447288846</v>
      </c>
    </row>
    <row r="84" spans="1:32" ht="19.95" customHeight="1" x14ac:dyDescent="0.3">
      <c r="A84" s="407" t="s">
        <v>225</v>
      </c>
      <c r="B84" s="409">
        <f>+S84</f>
        <v>12894</v>
      </c>
      <c r="C84" s="365" t="s">
        <v>57</v>
      </c>
      <c r="D84" s="313">
        <f t="shared" si="85"/>
        <v>1</v>
      </c>
      <c r="E84" s="316" t="s">
        <v>22</v>
      </c>
      <c r="F84" s="369" t="s">
        <v>239</v>
      </c>
      <c r="G84" s="401" t="s">
        <v>123</v>
      </c>
      <c r="H84" s="403" t="s">
        <v>258</v>
      </c>
      <c r="I84" s="348"/>
      <c r="J84" s="297">
        <f>IF(E84="A",'HS - Lane and Step Schedule'!B$7,IF(E84="B",'HS - Lane and Step Schedule'!D$7,IF(E84="C",'HS - Lane and Step Schedule'!F$7,IF(E84="D",'HS - Lane and Step Schedule'!H$7,IF(E84="E",'HS - Lane and Step Schedule'!J$7,IF(E84="F",'HS - Lane and Step Schedule'!L$7,IF(E84="G",'HS - Lane and Step Schedule'!N$7,IF(E84="H",'HS - Lane and Step Schedule'!P$7,IF(E84="I",'HS - Lane and Step Schedule'!R$7,IF(E84="J",'HS - Lane and Step Schedule'!T$7))))))))))</f>
        <v>9.7991999999999996E-2</v>
      </c>
      <c r="K84" s="307">
        <f t="shared" si="86"/>
        <v>3874.1205794399998</v>
      </c>
      <c r="L84" s="297">
        <f>IF(E84="A",'HS - Lane and Step Schedule'!B$16,IF(E84="B",'HS - Lane and Step Schedule'!D$16,IF(E84="C",'HS - Lane and Step Schedule'!F$16,IF(E84="D",'HS - Lane and Step Schedule'!H$16,IF(E84="E",'HS - Lane and Step Schedule'!J$16,IF(E84="F",'HS - Lane and Step Schedule'!L$16,IF(E84="G",'HS - Lane and Step Schedule'!N$16,IF(E84="H",'HS - Lane and Step Schedule'!P$16,IF(E84="I",'HS - Lane and Step Schedule'!R$16,IF(E84="J",'HS - Lane and Step Schedule'!T$16))))))))))</f>
        <v>0.11343798900000002</v>
      </c>
      <c r="M84" s="307">
        <f t="shared" si="87"/>
        <v>4484.7788357742311</v>
      </c>
      <c r="N84" s="297">
        <f>IF(E84="A",'HS - Lane and Step Schedule'!B$25,IF(E84="B",'HS - Lane and Step Schedule'!D$25,IF(E84="C",'HS - Lane and Step Schedule'!F$25,IF(E84="D",'HS - Lane and Step Schedule'!H$25,IF(E84="E",'HS - Lane and Step Schedule'!J$25,IF(E84="F",'HS - Lane and Step Schedule'!L$25,IF(E84="G",'HS - Lane and Step Schedule'!N$25,IF(E84="H",'HS - Lane and Step Schedule'!P$25,IF(E84="I",'HS - Lane and Step Schedule'!R$25,IF(E84="J",'HS - Lane and Step Schedule'!T$25))))))))))</f>
        <v>0.11687527350468901</v>
      </c>
      <c r="O84" s="307">
        <f t="shared" si="88"/>
        <v>4620.6721192770256</v>
      </c>
      <c r="P84" s="319">
        <v>1</v>
      </c>
      <c r="Q84" s="296">
        <v>1</v>
      </c>
      <c r="R84" s="298">
        <f t="shared" si="89"/>
        <v>4485</v>
      </c>
      <c r="S84" s="298">
        <f>+R84+R85</f>
        <v>12894</v>
      </c>
      <c r="T84" s="298">
        <f>+S84*0.3134</f>
        <v>4040.9796000000001</v>
      </c>
      <c r="U84" s="298">
        <f>+S84+T84</f>
        <v>16934.979599999999</v>
      </c>
      <c r="V84" s="302"/>
      <c r="X84" s="252" t="str">
        <f t="shared" ref="X84" si="110">+A84</f>
        <v>Wrestling - Boys</v>
      </c>
      <c r="Y84" s="252" t="str">
        <f t="shared" si="93"/>
        <v>Head Coach</v>
      </c>
      <c r="Z84" s="323">
        <f t="shared" si="94"/>
        <v>3874.1205794399998</v>
      </c>
      <c r="AA84" s="323">
        <f t="shared" si="95"/>
        <v>4620.6721192770256</v>
      </c>
    </row>
    <row r="85" spans="1:32" ht="19.95" customHeight="1" thickBot="1" x14ac:dyDescent="0.35">
      <c r="A85" s="408"/>
      <c r="B85" s="413"/>
      <c r="C85" s="367" t="s">
        <v>56</v>
      </c>
      <c r="D85" s="304">
        <f t="shared" si="85"/>
        <v>7</v>
      </c>
      <c r="E85" s="317" t="s">
        <v>23</v>
      </c>
      <c r="F85" s="368"/>
      <c r="G85" s="402"/>
      <c r="H85" s="404"/>
      <c r="I85" s="348"/>
      <c r="J85" s="303">
        <f>IF(E85="A",'HS - Lane and Step Schedule'!B$7,IF(E85="B",'HS - Lane and Step Schedule'!D$7,IF(E85="C",'HS - Lane and Step Schedule'!F$7,IF(E85="D",'HS - Lane and Step Schedule'!H$7,IF(E85="E",'HS - Lane and Step Schedule'!J$7,IF(E85="F",'HS - Lane and Step Schedule'!L$7,IF(E85="G",'HS - Lane and Step Schedule'!N$7,IF(E85="H",'HS - Lane and Step Schedule'!P$7,IF(E85="I",'HS - Lane and Step Schedule'!R$7,IF(E85="J",'HS - Lane and Step Schedule'!T$7))))))))))</f>
        <v>6.1245000000000001E-2</v>
      </c>
      <c r="K85" s="308">
        <f t="shared" si="86"/>
        <v>2421.3253621499998</v>
      </c>
      <c r="L85" s="303">
        <f>IF(E85="A",'HS - Lane and Step Schedule'!B$16,IF(E85="B",'HS - Lane and Step Schedule'!D$16,IF(E85="C",'HS - Lane and Step Schedule'!F$16,IF(E85="D",'HS - Lane and Step Schedule'!H$16,IF(E85="E",'HS - Lane and Step Schedule'!J$16,IF(E85="F",'HS - Lane and Step Schedule'!L$16,IF(E85="G",'HS - Lane and Step Schedule'!N$16,IF(E85="H",'HS - Lane and Step Schedule'!P$16,IF(E85="I",'HS - Lane and Step Schedule'!R$16,IF(E85="J",'HS - Lane and Step Schedule'!T$16))))))))))</f>
        <v>7.0898743125000011E-2</v>
      </c>
      <c r="M85" s="308">
        <f t="shared" si="87"/>
        <v>2802.9867723588941</v>
      </c>
      <c r="N85" s="303">
        <f>IF(E85="A",'HS - Lane and Step Schedule'!B$25,IF(E85="B",'HS - Lane and Step Schedule'!D$25,IF(E85="C",'HS - Lane and Step Schedule'!F$25,IF(E85="D",'HS - Lane and Step Schedule'!H$25,IF(E85="E",'HS - Lane and Step Schedule'!J$25,IF(E85="F",'HS - Lane and Step Schedule'!L$25,IF(E85="G",'HS - Lane and Step Schedule'!N$25,IF(E85="H",'HS - Lane and Step Schedule'!P$25,IF(E85="I",'HS - Lane and Step Schedule'!R$25,IF(E85="J",'HS - Lane and Step Schedule'!T$25))))))))))</f>
        <v>7.3047045940430641E-2</v>
      </c>
      <c r="O85" s="308">
        <f t="shared" si="88"/>
        <v>2887.9200745481412</v>
      </c>
      <c r="P85" s="320">
        <v>7</v>
      </c>
      <c r="Q85" s="305">
        <v>3</v>
      </c>
      <c r="R85" s="309">
        <f t="shared" si="89"/>
        <v>8409</v>
      </c>
      <c r="S85" s="309"/>
      <c r="T85" s="310"/>
      <c r="U85" s="310"/>
      <c r="V85" s="306"/>
      <c r="X85" s="252" t="str">
        <f t="shared" ref="X85" si="111">+A84</f>
        <v>Wrestling - Boys</v>
      </c>
      <c r="Y85" s="252" t="str">
        <f t="shared" si="93"/>
        <v>Assistant Coach</v>
      </c>
      <c r="Z85" s="323">
        <f t="shared" si="94"/>
        <v>2421.3253621499998</v>
      </c>
      <c r="AA85" s="323">
        <f t="shared" si="95"/>
        <v>2887.9200745481412</v>
      </c>
    </row>
    <row r="86" spans="1:32" ht="19.95" customHeight="1" x14ac:dyDescent="0.3">
      <c r="A86" s="407" t="s">
        <v>226</v>
      </c>
      <c r="B86" s="409">
        <f>+S86</f>
        <v>12894</v>
      </c>
      <c r="C86" s="365" t="s">
        <v>57</v>
      </c>
      <c r="D86" s="313">
        <f t="shared" si="85"/>
        <v>1</v>
      </c>
      <c r="E86" s="316" t="s">
        <v>22</v>
      </c>
      <c r="F86" s="369" t="s">
        <v>239</v>
      </c>
      <c r="G86" s="401" t="s">
        <v>123</v>
      </c>
      <c r="H86" s="403" t="s">
        <v>258</v>
      </c>
      <c r="I86" s="348"/>
      <c r="J86" s="297">
        <f>IF(E86="A",'HS - Lane and Step Schedule'!B$7,IF(E86="B",'HS - Lane and Step Schedule'!D$7,IF(E86="C",'HS - Lane and Step Schedule'!F$7,IF(E86="D",'HS - Lane and Step Schedule'!H$7,IF(E86="E",'HS - Lane and Step Schedule'!J$7,IF(E86="F",'HS - Lane and Step Schedule'!L$7,IF(E86="G",'HS - Lane and Step Schedule'!N$7,IF(E86="H",'HS - Lane and Step Schedule'!P$7,IF(E86="I",'HS - Lane and Step Schedule'!R$7,IF(E86="J",'HS - Lane and Step Schedule'!T$7))))))))))</f>
        <v>9.7991999999999996E-2</v>
      </c>
      <c r="K86" s="307">
        <f t="shared" si="86"/>
        <v>3874.1205794399998</v>
      </c>
      <c r="L86" s="297">
        <f>IF(E86="A",'HS - Lane and Step Schedule'!B$16,IF(E86="B",'HS - Lane and Step Schedule'!D$16,IF(E86="C",'HS - Lane and Step Schedule'!F$16,IF(E86="D",'HS - Lane and Step Schedule'!H$16,IF(E86="E",'HS - Lane and Step Schedule'!J$16,IF(E86="F",'HS - Lane and Step Schedule'!L$16,IF(E86="G",'HS - Lane and Step Schedule'!N$16,IF(E86="H",'HS - Lane and Step Schedule'!P$16,IF(E86="I",'HS - Lane and Step Schedule'!R$16,IF(E86="J",'HS - Lane and Step Schedule'!T$16))))))))))</f>
        <v>0.11343798900000002</v>
      </c>
      <c r="M86" s="307">
        <f t="shared" si="87"/>
        <v>4484.7788357742311</v>
      </c>
      <c r="N86" s="297">
        <f>IF(E86="A",'HS - Lane and Step Schedule'!B$25,IF(E86="B",'HS - Lane and Step Schedule'!D$25,IF(E86="C",'HS - Lane and Step Schedule'!F$25,IF(E86="D",'HS - Lane and Step Schedule'!H$25,IF(E86="E",'HS - Lane and Step Schedule'!J$25,IF(E86="F",'HS - Lane and Step Schedule'!L$25,IF(E86="G",'HS - Lane and Step Schedule'!N$25,IF(E86="H",'HS - Lane and Step Schedule'!P$25,IF(E86="I",'HS - Lane and Step Schedule'!R$25,IF(E86="J",'HS - Lane and Step Schedule'!T$25))))))))))</f>
        <v>0.11687527350468901</v>
      </c>
      <c r="O86" s="307">
        <f t="shared" si="88"/>
        <v>4620.6721192770256</v>
      </c>
      <c r="P86" s="319">
        <v>1</v>
      </c>
      <c r="Q86" s="296">
        <v>1</v>
      </c>
      <c r="R86" s="298">
        <f t="shared" si="89"/>
        <v>4485</v>
      </c>
      <c r="S86" s="298">
        <f>+R86+R87</f>
        <v>12894</v>
      </c>
      <c r="T86" s="298">
        <f>+S86*0.3134</f>
        <v>4040.9796000000001</v>
      </c>
      <c r="U86" s="298">
        <f>+S86+T86</f>
        <v>16934.979599999999</v>
      </c>
      <c r="V86" s="302"/>
      <c r="X86" s="252" t="str">
        <f t="shared" ref="X86" si="112">+A86</f>
        <v>Wrestling - Girls</v>
      </c>
      <c r="Y86" s="252" t="str">
        <f t="shared" si="93"/>
        <v>Head Coach</v>
      </c>
      <c r="Z86" s="323">
        <f t="shared" si="94"/>
        <v>3874.1205794399998</v>
      </c>
      <c r="AA86" s="323">
        <f t="shared" si="95"/>
        <v>4620.6721192770256</v>
      </c>
    </row>
    <row r="87" spans="1:32" ht="19.95" customHeight="1" thickBot="1" x14ac:dyDescent="0.35">
      <c r="A87" s="408"/>
      <c r="B87" s="413"/>
      <c r="C87" s="367" t="s">
        <v>56</v>
      </c>
      <c r="D87" s="304">
        <f t="shared" si="85"/>
        <v>7</v>
      </c>
      <c r="E87" s="317" t="s">
        <v>23</v>
      </c>
      <c r="F87" s="368"/>
      <c r="G87" s="402"/>
      <c r="H87" s="404"/>
      <c r="I87" s="348"/>
      <c r="J87" s="303">
        <f>IF(E87="A",'HS - Lane and Step Schedule'!B$7,IF(E87="B",'HS - Lane and Step Schedule'!D$7,IF(E87="C",'HS - Lane and Step Schedule'!F$7,IF(E87="D",'HS - Lane and Step Schedule'!H$7,IF(E87="E",'HS - Lane and Step Schedule'!J$7,IF(E87="F",'HS - Lane and Step Schedule'!L$7,IF(E87="G",'HS - Lane and Step Schedule'!N$7,IF(E87="H",'HS - Lane and Step Schedule'!P$7,IF(E87="I",'HS - Lane and Step Schedule'!R$7,IF(E87="J",'HS - Lane and Step Schedule'!T$7))))))))))</f>
        <v>6.1245000000000001E-2</v>
      </c>
      <c r="K87" s="308">
        <f t="shared" si="86"/>
        <v>2421.3253621499998</v>
      </c>
      <c r="L87" s="303">
        <f>IF(E87="A",'HS - Lane and Step Schedule'!B$16,IF(E87="B",'HS - Lane and Step Schedule'!D$16,IF(E87="C",'HS - Lane and Step Schedule'!F$16,IF(E87="D",'HS - Lane and Step Schedule'!H$16,IF(E87="E",'HS - Lane and Step Schedule'!J$16,IF(E87="F",'HS - Lane and Step Schedule'!L$16,IF(E87="G",'HS - Lane and Step Schedule'!N$16,IF(E87="H",'HS - Lane and Step Schedule'!P$16,IF(E87="I",'HS - Lane and Step Schedule'!R$16,IF(E87="J",'HS - Lane and Step Schedule'!T$16))))))))))</f>
        <v>7.0898743125000011E-2</v>
      </c>
      <c r="M87" s="308">
        <f t="shared" si="87"/>
        <v>2802.9867723588941</v>
      </c>
      <c r="N87" s="303">
        <f>IF(E87="A",'HS - Lane and Step Schedule'!B$25,IF(E87="B",'HS - Lane and Step Schedule'!D$25,IF(E87="C",'HS - Lane and Step Schedule'!F$25,IF(E87="D",'HS - Lane and Step Schedule'!H$25,IF(E87="E",'HS - Lane and Step Schedule'!J$25,IF(E87="F",'HS - Lane and Step Schedule'!L$25,IF(E87="G",'HS - Lane and Step Schedule'!N$25,IF(E87="H",'HS - Lane and Step Schedule'!P$25,IF(E87="I",'HS - Lane and Step Schedule'!R$25,IF(E87="J",'HS - Lane and Step Schedule'!T$25))))))))))</f>
        <v>7.3047045940430641E-2</v>
      </c>
      <c r="O87" s="308">
        <f t="shared" si="88"/>
        <v>2887.9200745481412</v>
      </c>
      <c r="P87" s="320">
        <v>7</v>
      </c>
      <c r="Q87" s="305">
        <v>3</v>
      </c>
      <c r="R87" s="309">
        <f t="shared" si="89"/>
        <v>8409</v>
      </c>
      <c r="S87" s="309"/>
      <c r="T87" s="310"/>
      <c r="U87" s="310"/>
      <c r="V87" s="306"/>
      <c r="X87" s="252" t="str">
        <f t="shared" ref="X87" si="113">+A86</f>
        <v>Wrestling - Girls</v>
      </c>
      <c r="Y87" s="252" t="str">
        <f t="shared" si="93"/>
        <v>Assistant Coach</v>
      </c>
      <c r="Z87" s="323">
        <f t="shared" si="94"/>
        <v>2421.3253621499998</v>
      </c>
      <c r="AA87" s="323">
        <f t="shared" si="95"/>
        <v>2887.9200745481412</v>
      </c>
    </row>
    <row r="88" spans="1:32" ht="19.95" customHeight="1" x14ac:dyDescent="0.3">
      <c r="A88" s="407" t="s">
        <v>29</v>
      </c>
      <c r="B88" s="409">
        <f>+S88</f>
        <v>2492</v>
      </c>
      <c r="C88" s="365" t="s">
        <v>58</v>
      </c>
      <c r="D88" s="313">
        <f t="shared" si="85"/>
        <v>1</v>
      </c>
      <c r="E88" s="316" t="s">
        <v>10</v>
      </c>
      <c r="F88" s="366"/>
      <c r="G88" s="401" t="s">
        <v>255</v>
      </c>
      <c r="H88" s="403" t="s">
        <v>256</v>
      </c>
      <c r="I88" s="348"/>
      <c r="J88" s="297">
        <f>IF(E88="A",'HS - Lane and Step Schedule'!B$7,IF(E88="B",'HS - Lane and Step Schedule'!D$7,IF(E88="C",'HS - Lane and Step Schedule'!F$7,IF(E88="D",'HS - Lane and Step Schedule'!H$7,IF(E88="E",'HS - Lane and Step Schedule'!J$7,IF(E88="F",'HS - Lane and Step Schedule'!L$7,IF(E88="G",'HS - Lane and Step Schedule'!N$7,IF(E88="H",'HS - Lane and Step Schedule'!P$7,IF(E88="I",'HS - Lane and Step Schedule'!R$7,IF(E88="J",'HS - Lane and Step Schedule'!T$7))))))))))</f>
        <v>5.4440000000000002E-2</v>
      </c>
      <c r="K88" s="307">
        <f t="shared" si="86"/>
        <v>2152.2892108000001</v>
      </c>
      <c r="L88" s="297">
        <f>IF(E88="A",'HS - Lane and Step Schedule'!B$16,IF(E88="B",'HS - Lane and Step Schedule'!D$16,IF(E88="C",'HS - Lane and Step Schedule'!F$16,IF(E88="D",'HS - Lane and Step Schedule'!H$16,IF(E88="E",'HS - Lane and Step Schedule'!J$16,IF(E88="F",'HS - Lane and Step Schedule'!L$16,IF(E88="G",'HS - Lane and Step Schedule'!N$16,IF(E88="H",'HS - Lane and Step Schedule'!P$16,IF(E88="I",'HS - Lane and Step Schedule'!R$16,IF(E88="J",'HS - Lane and Step Schedule'!T$16))))))))))</f>
        <v>6.3021105000000008E-2</v>
      </c>
      <c r="M88" s="307">
        <f t="shared" si="87"/>
        <v>2491.5437976523503</v>
      </c>
      <c r="N88" s="297">
        <f>IF(E88="A",'HS - Lane and Step Schedule'!B$25,IF(E88="B",'HS - Lane and Step Schedule'!D$25,IF(E88="C",'HS - Lane and Step Schedule'!F$25,IF(E88="D",'HS - Lane and Step Schedule'!H$25,IF(E88="E",'HS - Lane and Step Schedule'!J$25,IF(E88="F",'HS - Lane and Step Schedule'!L$25,IF(E88="G",'HS - Lane and Step Schedule'!N$25,IF(E88="H",'HS - Lane and Step Schedule'!P$25,IF(E88="I",'HS - Lane and Step Schedule'!R$25,IF(E88="J",'HS - Lane and Step Schedule'!T$25))))))))))</f>
        <v>6.4930707502605017E-2</v>
      </c>
      <c r="O88" s="307">
        <f t="shared" si="88"/>
        <v>2567.0400662650145</v>
      </c>
      <c r="P88" s="319">
        <v>1</v>
      </c>
      <c r="Q88" s="296">
        <v>1</v>
      </c>
      <c r="R88" s="298">
        <f t="shared" si="89"/>
        <v>2492</v>
      </c>
      <c r="S88" s="298">
        <f>+R88+R89</f>
        <v>2492</v>
      </c>
      <c r="T88" s="298">
        <f>+S88*0.3134</f>
        <v>780.99279999999999</v>
      </c>
      <c r="U88" s="298">
        <f>+S88+T88</f>
        <v>3272.9928</v>
      </c>
      <c r="V88" s="302"/>
      <c r="X88" s="252" t="str">
        <f t="shared" ref="X88" si="114">+A88</f>
        <v>Yearbook</v>
      </c>
      <c r="Y88" s="252" t="str">
        <f t="shared" si="93"/>
        <v>Head Advisor</v>
      </c>
      <c r="Z88" s="323">
        <f t="shared" si="94"/>
        <v>2152.2892108000001</v>
      </c>
      <c r="AA88" s="323">
        <f t="shared" si="95"/>
        <v>2567.0400662650145</v>
      </c>
    </row>
    <row r="89" spans="1:32" ht="19.95" customHeight="1" thickBot="1" x14ac:dyDescent="0.35">
      <c r="A89" s="408"/>
      <c r="B89" s="413"/>
      <c r="C89" s="367" t="s">
        <v>59</v>
      </c>
      <c r="D89" s="304">
        <f t="shared" si="85"/>
        <v>1</v>
      </c>
      <c r="E89" s="317" t="s">
        <v>78</v>
      </c>
      <c r="F89" s="368"/>
      <c r="G89" s="402"/>
      <c r="H89" s="404"/>
      <c r="I89" s="348"/>
      <c r="J89" s="303">
        <f>IF(E89="A",'HS - Lane and Step Schedule'!B$7,IF(E89="B",'HS - Lane and Step Schedule'!D$7,IF(E89="C",'HS - Lane and Step Schedule'!F$7,IF(E89="D",'HS - Lane and Step Schedule'!H$7,IF(E89="E",'HS - Lane and Step Schedule'!J$7,IF(E89="F",'HS - Lane and Step Schedule'!L$7,IF(E89="G",'HS - Lane and Step Schedule'!N$7,IF(E89="H",'HS - Lane and Step Schedule'!P$7,IF(E89="I",'HS - Lane and Step Schedule'!R$7,IF(E89="J",'HS - Lane and Step Schedule'!T$7))))))))))</f>
        <v>2.5859E-2</v>
      </c>
      <c r="K89" s="308">
        <f t="shared" si="86"/>
        <v>1022.3373751299999</v>
      </c>
      <c r="L89" s="303">
        <f>IF(E89="A",'HS - Lane and Step Schedule'!B$16,IF(E89="B",'HS - Lane and Step Schedule'!D$16,IF(E89="C",'HS - Lane and Step Schedule'!F$16,IF(E89="D",'HS - Lane and Step Schedule'!H$16,IF(E89="E",'HS - Lane and Step Schedule'!J$16,IF(E89="F",'HS - Lane and Step Schedule'!L$16,IF(E89="G",'HS - Lane and Step Schedule'!N$16,IF(E89="H",'HS - Lane and Step Schedule'!P$16,IF(E89="I",'HS - Lane and Step Schedule'!R$16,IF(E89="J",'HS - Lane and Step Schedule'!T$16))))))))))</f>
        <v>2.9935024875000004E-2</v>
      </c>
      <c r="M89" s="308">
        <f t="shared" si="87"/>
        <v>1183.4833038848665</v>
      </c>
      <c r="N89" s="303">
        <f>IF(E89="A",'HS - Lane and Step Schedule'!B$25,IF(E89="B",'HS - Lane and Step Schedule'!D$25,IF(E89="C",'HS - Lane and Step Schedule'!F$25,IF(E89="D",'HS - Lane and Step Schedule'!H$25,IF(E89="E",'HS - Lane and Step Schedule'!J$25,IF(E89="F",'HS - Lane and Step Schedule'!L$25,IF(E89="G",'HS - Lane and Step Schedule'!N$25,IF(E89="H",'HS - Lane and Step Schedule'!P$25,IF(E89="I",'HS - Lane and Step Schedule'!R$25,IF(E89="J",'HS - Lane and Step Schedule'!T$25))))))))))</f>
        <v>3.0842086063737378E-2</v>
      </c>
      <c r="O89" s="308">
        <f t="shared" si="88"/>
        <v>1219.3440314758816</v>
      </c>
      <c r="P89" s="320">
        <v>1</v>
      </c>
      <c r="Q89" s="305">
        <v>0</v>
      </c>
      <c r="R89" s="309">
        <f t="shared" si="89"/>
        <v>0</v>
      </c>
      <c r="S89" s="309"/>
      <c r="T89" s="310"/>
      <c r="U89" s="310"/>
      <c r="V89" s="306"/>
      <c r="X89" s="252" t="str">
        <f t="shared" ref="X89" si="115">+A88</f>
        <v>Yearbook</v>
      </c>
      <c r="Y89" s="252" t="str">
        <f t="shared" si="93"/>
        <v>Assistant Advisor</v>
      </c>
      <c r="Z89" s="323">
        <f t="shared" si="94"/>
        <v>1022.3373751299999</v>
      </c>
      <c r="AA89" s="323">
        <f t="shared" si="95"/>
        <v>1219.3440314758816</v>
      </c>
    </row>
    <row r="90" spans="1:32" ht="14.4" thickBot="1" x14ac:dyDescent="0.35">
      <c r="J90" s="292"/>
      <c r="K90" s="292"/>
      <c r="P90" s="257">
        <f>SUM(P6:P89)</f>
        <v>188</v>
      </c>
      <c r="Q90" s="257">
        <f>SUM(Q6:Q89)</f>
        <v>94.5</v>
      </c>
      <c r="R90" s="254" t="s">
        <v>235</v>
      </c>
      <c r="S90" s="311">
        <f>SUM(S6:S89)</f>
        <v>319138</v>
      </c>
      <c r="T90" s="311">
        <f>SUM(T6:T89)</f>
        <v>100017.84920000003</v>
      </c>
      <c r="U90" s="311">
        <f>SUM(U6:U89)</f>
        <v>419155.84920000006</v>
      </c>
    </row>
    <row r="91" spans="1:32" x14ac:dyDescent="0.3">
      <c r="A91" s="372" t="s">
        <v>65</v>
      </c>
      <c r="R91" s="254" t="s">
        <v>236</v>
      </c>
      <c r="S91" s="158">
        <v>5</v>
      </c>
      <c r="T91" s="158">
        <v>5</v>
      </c>
      <c r="U91" s="158">
        <v>5</v>
      </c>
    </row>
    <row r="92" spans="1:32" ht="14.4" thickBot="1" x14ac:dyDescent="0.35">
      <c r="A92" s="412" t="s">
        <v>238</v>
      </c>
      <c r="B92" s="412"/>
      <c r="C92" s="412"/>
      <c r="D92" s="412"/>
      <c r="E92" s="412"/>
      <c r="F92" s="412"/>
      <c r="G92" s="412"/>
      <c r="H92" s="412"/>
      <c r="I92" s="346"/>
      <c r="R92" s="254" t="s">
        <v>237</v>
      </c>
      <c r="S92" s="255">
        <f>+S90*S91</f>
        <v>1595690</v>
      </c>
      <c r="T92" s="255">
        <f>+T90*T91</f>
        <v>500089.24600000016</v>
      </c>
      <c r="U92" s="255">
        <f>+U90*U91</f>
        <v>2095779.2460000003</v>
      </c>
    </row>
    <row r="93" spans="1:32" x14ac:dyDescent="0.3">
      <c r="A93" s="412"/>
      <c r="B93" s="412"/>
      <c r="C93" s="412"/>
      <c r="D93" s="412"/>
      <c r="E93" s="412"/>
      <c r="F93" s="412"/>
      <c r="G93" s="412"/>
      <c r="H93" s="412"/>
      <c r="I93" s="346"/>
      <c r="R93" s="254"/>
      <c r="S93" s="158"/>
      <c r="T93" s="158"/>
      <c r="U93" s="158"/>
    </row>
    <row r="94" spans="1:32" ht="13.8" customHeight="1" x14ac:dyDescent="0.3">
      <c r="A94" s="412" t="s">
        <v>242</v>
      </c>
      <c r="B94" s="412"/>
      <c r="C94" s="412"/>
      <c r="D94" s="412"/>
      <c r="E94" s="412"/>
      <c r="F94" s="412"/>
      <c r="G94" s="412"/>
      <c r="H94" s="412"/>
      <c r="I94" s="346"/>
      <c r="R94" s="254" t="s">
        <v>292</v>
      </c>
      <c r="S94" s="322">
        <v>1268575</v>
      </c>
      <c r="T94" s="322">
        <v>397571.40500000003</v>
      </c>
      <c r="U94" s="323">
        <f>+S94+T94</f>
        <v>1666146.405</v>
      </c>
    </row>
    <row r="95" spans="1:32" x14ac:dyDescent="0.3">
      <c r="A95" s="412"/>
      <c r="B95" s="412"/>
      <c r="C95" s="412"/>
      <c r="D95" s="412"/>
      <c r="E95" s="412"/>
      <c r="F95" s="412"/>
      <c r="G95" s="412"/>
      <c r="H95" s="412"/>
      <c r="I95" s="346"/>
      <c r="R95" s="254" t="s">
        <v>266</v>
      </c>
      <c r="S95" s="323">
        <f>+S92-S94</f>
        <v>327115</v>
      </c>
      <c r="T95" s="323">
        <f t="shared" ref="T95:U95" si="116">+T92-T94</f>
        <v>102517.84100000013</v>
      </c>
      <c r="U95" s="373">
        <f t="shared" si="116"/>
        <v>429632.84100000025</v>
      </c>
    </row>
    <row r="96" spans="1:32" x14ac:dyDescent="0.3">
      <c r="A96" s="423" t="s">
        <v>278</v>
      </c>
      <c r="B96" s="423"/>
      <c r="C96" s="423"/>
      <c r="D96" s="423"/>
      <c r="E96" s="423"/>
      <c r="F96" s="423"/>
      <c r="G96" s="423"/>
      <c r="H96" s="423"/>
      <c r="S96" s="162"/>
      <c r="U96" s="329"/>
    </row>
    <row r="97" spans="1:21" x14ac:dyDescent="0.3">
      <c r="A97" s="424" t="s">
        <v>240</v>
      </c>
      <c r="B97" s="424"/>
      <c r="C97" s="424"/>
      <c r="D97" s="424"/>
      <c r="E97" s="424"/>
      <c r="F97" s="424"/>
      <c r="G97" s="424"/>
      <c r="H97" s="424"/>
      <c r="T97" s="328" t="s">
        <v>267</v>
      </c>
      <c r="U97" s="330">
        <f>+U95/U94</f>
        <v>0.25786019746566041</v>
      </c>
    </row>
    <row r="98" spans="1:21" x14ac:dyDescent="0.3">
      <c r="A98" s="424" t="s">
        <v>279</v>
      </c>
      <c r="B98" s="424"/>
      <c r="C98" s="424"/>
      <c r="D98" s="424"/>
      <c r="E98" s="424"/>
      <c r="F98" s="424"/>
      <c r="G98" s="424"/>
      <c r="H98" s="424"/>
      <c r="S98" s="3"/>
      <c r="U98" s="3"/>
    </row>
    <row r="99" spans="1:21" x14ac:dyDescent="0.3">
      <c r="A99" s="411" t="s">
        <v>246</v>
      </c>
      <c r="B99" s="411"/>
      <c r="C99" s="411"/>
      <c r="D99" s="411"/>
      <c r="E99" s="411"/>
      <c r="F99" s="411"/>
      <c r="G99" s="411"/>
      <c r="H99" s="411"/>
      <c r="I99" s="347"/>
    </row>
    <row r="100" spans="1:21" x14ac:dyDescent="0.3">
      <c r="A100" s="411"/>
      <c r="B100" s="411"/>
      <c r="C100" s="411"/>
      <c r="D100" s="411"/>
      <c r="E100" s="411"/>
      <c r="F100" s="411"/>
      <c r="G100" s="411"/>
      <c r="H100" s="411"/>
      <c r="I100" s="347"/>
      <c r="S100" s="3"/>
      <c r="U100" s="3"/>
    </row>
    <row r="101" spans="1:21" x14ac:dyDescent="0.3">
      <c r="A101" s="411"/>
      <c r="B101" s="411"/>
      <c r="C101" s="411"/>
      <c r="D101" s="411"/>
      <c r="E101" s="411"/>
      <c r="F101" s="411"/>
      <c r="G101" s="411"/>
      <c r="H101" s="411"/>
      <c r="I101" s="347"/>
      <c r="S101" s="159"/>
    </row>
    <row r="102" spans="1:21" x14ac:dyDescent="0.3">
      <c r="A102" s="411"/>
      <c r="B102" s="411"/>
      <c r="C102" s="411"/>
      <c r="D102" s="411"/>
      <c r="E102" s="411"/>
      <c r="F102" s="411"/>
      <c r="G102" s="411"/>
      <c r="H102" s="411"/>
      <c r="I102" s="347"/>
      <c r="S102" s="159"/>
    </row>
    <row r="107" spans="1:21" x14ac:dyDescent="0.3">
      <c r="J107" s="160"/>
      <c r="K107" s="160"/>
    </row>
  </sheetData>
  <sheetProtection algorithmName="SHA-512" hashValue="K6LeQ5Ldx1hVRlOMsAGfZxB1TpavGtwo/F4VHUxzTsHqmQ5C61VXoLG45kuiOlFBhNLoZgw2vTMFoQ4nRt5F6g==" saltValue="rd0rHUPsvZpsN4gmg+E/zw==" spinCount="100000" sheet="1" selectLockedCells="1"/>
  <autoFilter ref="A5:U89" xr:uid="{00000000-0001-0000-0000-000000000000}"/>
  <mergeCells count="178">
    <mergeCell ref="A96:H96"/>
    <mergeCell ref="A97:H97"/>
    <mergeCell ref="A98:H98"/>
    <mergeCell ref="A4:H4"/>
    <mergeCell ref="A16:A17"/>
    <mergeCell ref="A14:A15"/>
    <mergeCell ref="B36:B37"/>
    <mergeCell ref="A24:A25"/>
    <mergeCell ref="B24:B25"/>
    <mergeCell ref="A40:A41"/>
    <mergeCell ref="A44:A45"/>
    <mergeCell ref="A38:A39"/>
    <mergeCell ref="A28:A29"/>
    <mergeCell ref="A36:A37"/>
    <mergeCell ref="A34:A35"/>
    <mergeCell ref="B44:B45"/>
    <mergeCell ref="B34:B35"/>
    <mergeCell ref="B32:B33"/>
    <mergeCell ref="B30:B31"/>
    <mergeCell ref="B26:B27"/>
    <mergeCell ref="B38:B39"/>
    <mergeCell ref="B42:B43"/>
    <mergeCell ref="A94:H95"/>
    <mergeCell ref="B72:B73"/>
    <mergeCell ref="B70:B71"/>
    <mergeCell ref="B68:B69"/>
    <mergeCell ref="B66:B67"/>
    <mergeCell ref="B64:B65"/>
    <mergeCell ref="B88:B89"/>
    <mergeCell ref="B84:B85"/>
    <mergeCell ref="B78:B79"/>
    <mergeCell ref="B74:B75"/>
    <mergeCell ref="G82:G83"/>
    <mergeCell ref="B86:B87"/>
    <mergeCell ref="H82:H83"/>
    <mergeCell ref="G84:G85"/>
    <mergeCell ref="H84:H85"/>
    <mergeCell ref="G86:G87"/>
    <mergeCell ref="H86:H87"/>
    <mergeCell ref="G72:G73"/>
    <mergeCell ref="H72:H73"/>
    <mergeCell ref="G74:G75"/>
    <mergeCell ref="G80:G81"/>
    <mergeCell ref="H80:H81"/>
    <mergeCell ref="G78:G79"/>
    <mergeCell ref="H78:H79"/>
    <mergeCell ref="G76:G77"/>
    <mergeCell ref="H76:H77"/>
    <mergeCell ref="G62:G63"/>
    <mergeCell ref="H62:H63"/>
    <mergeCell ref="G64:G65"/>
    <mergeCell ref="H64:H65"/>
    <mergeCell ref="B40:B41"/>
    <mergeCell ref="G6:G7"/>
    <mergeCell ref="H6:H7"/>
    <mergeCell ref="A12:A13"/>
    <mergeCell ref="A8:A9"/>
    <mergeCell ref="A46:A47"/>
    <mergeCell ref="H26:H27"/>
    <mergeCell ref="A6:A7"/>
    <mergeCell ref="B6:B7"/>
    <mergeCell ref="G18:G19"/>
    <mergeCell ref="H18:H19"/>
    <mergeCell ref="G12:G13"/>
    <mergeCell ref="H12:H13"/>
    <mergeCell ref="G14:G15"/>
    <mergeCell ref="H14:H15"/>
    <mergeCell ref="G16:G17"/>
    <mergeCell ref="H16:H17"/>
    <mergeCell ref="B18:B19"/>
    <mergeCell ref="B16:B17"/>
    <mergeCell ref="B14:B15"/>
    <mergeCell ref="A82:A83"/>
    <mergeCell ref="B82:B83"/>
    <mergeCell ref="A64:A65"/>
    <mergeCell ref="A70:A71"/>
    <mergeCell ref="A68:A69"/>
    <mergeCell ref="A66:A67"/>
    <mergeCell ref="A62:A63"/>
    <mergeCell ref="A58:A59"/>
    <mergeCell ref="B46:B47"/>
    <mergeCell ref="B48:B49"/>
    <mergeCell ref="B50:B51"/>
    <mergeCell ref="A52:A53"/>
    <mergeCell ref="B60:B61"/>
    <mergeCell ref="B52:B53"/>
    <mergeCell ref="B58:B59"/>
    <mergeCell ref="B56:B57"/>
    <mergeCell ref="B54:B55"/>
    <mergeCell ref="A80:A81"/>
    <mergeCell ref="B80:B81"/>
    <mergeCell ref="A76:A77"/>
    <mergeCell ref="B76:B77"/>
    <mergeCell ref="B62:B63"/>
    <mergeCell ref="A48:A49"/>
    <mergeCell ref="A50:A51"/>
    <mergeCell ref="B12:B13"/>
    <mergeCell ref="G8:G9"/>
    <mergeCell ref="H8:H9"/>
    <mergeCell ref="B10:B11"/>
    <mergeCell ref="G10:G11"/>
    <mergeCell ref="H10:H11"/>
    <mergeCell ref="A10:A11"/>
    <mergeCell ref="G30:G31"/>
    <mergeCell ref="G88:G89"/>
    <mergeCell ref="H88:H89"/>
    <mergeCell ref="B8:B9"/>
    <mergeCell ref="A18:A19"/>
    <mergeCell ref="A22:A23"/>
    <mergeCell ref="A20:A21"/>
    <mergeCell ref="G20:G21"/>
    <mergeCell ref="H20:H21"/>
    <mergeCell ref="G22:G23"/>
    <mergeCell ref="H22:H23"/>
    <mergeCell ref="A32:A33"/>
    <mergeCell ref="A30:A31"/>
    <mergeCell ref="A54:A55"/>
    <mergeCell ref="B22:B23"/>
    <mergeCell ref="B20:B21"/>
    <mergeCell ref="A26:A27"/>
    <mergeCell ref="A42:A43"/>
    <mergeCell ref="B28:B29"/>
    <mergeCell ref="G24:G25"/>
    <mergeCell ref="H24:H25"/>
    <mergeCell ref="G26:G27"/>
    <mergeCell ref="A99:H102"/>
    <mergeCell ref="A92:H93"/>
    <mergeCell ref="A56:A57"/>
    <mergeCell ref="A60:A61"/>
    <mergeCell ref="A88:A89"/>
    <mergeCell ref="A84:A85"/>
    <mergeCell ref="A78:A79"/>
    <mergeCell ref="A74:A75"/>
    <mergeCell ref="A72:A73"/>
    <mergeCell ref="A86:A87"/>
    <mergeCell ref="G66:G67"/>
    <mergeCell ref="H66:H67"/>
    <mergeCell ref="G68:G69"/>
    <mergeCell ref="H68:H69"/>
    <mergeCell ref="G70:G71"/>
    <mergeCell ref="H70:H71"/>
    <mergeCell ref="G60:G61"/>
    <mergeCell ref="H60:H61"/>
    <mergeCell ref="H74:H75"/>
    <mergeCell ref="H30:H31"/>
    <mergeCell ref="G32:G33"/>
    <mergeCell ref="H32:H33"/>
    <mergeCell ref="G34:G35"/>
    <mergeCell ref="H34:H35"/>
    <mergeCell ref="J4:K4"/>
    <mergeCell ref="L4:M4"/>
    <mergeCell ref="N4:O4"/>
    <mergeCell ref="G54:G55"/>
    <mergeCell ref="H54:H55"/>
    <mergeCell ref="G42:G43"/>
    <mergeCell ref="H42:H43"/>
    <mergeCell ref="G44:G45"/>
    <mergeCell ref="H44:H45"/>
    <mergeCell ref="G46:G47"/>
    <mergeCell ref="H46:H47"/>
    <mergeCell ref="G36:G37"/>
    <mergeCell ref="H36:H37"/>
    <mergeCell ref="G38:G39"/>
    <mergeCell ref="G28:G29"/>
    <mergeCell ref="H28:H29"/>
    <mergeCell ref="H38:H39"/>
    <mergeCell ref="G40:G41"/>
    <mergeCell ref="H40:H41"/>
    <mergeCell ref="G56:G57"/>
    <mergeCell ref="H56:H57"/>
    <mergeCell ref="G58:G59"/>
    <mergeCell ref="H58:H59"/>
    <mergeCell ref="G48:G49"/>
    <mergeCell ref="H48:H49"/>
    <mergeCell ref="G50:G51"/>
    <mergeCell ref="H50:H51"/>
    <mergeCell ref="G52:G53"/>
    <mergeCell ref="H52:H53"/>
  </mergeCells>
  <printOptions horizontalCentered="1"/>
  <pageMargins left="0.5" right="0.5" top="0.5" bottom="0.75" header="0.3" footer="0.25"/>
  <pageSetup scale="90" fitToHeight="0" orientation="portrait" r:id="rId1"/>
  <headerFooter>
    <oddFooter>&amp;LLast revised: January 2, 2024&amp;RPage &amp;P of &amp;N</oddFooter>
  </headerFooter>
  <rowBreaks count="2" manualBreakCount="2">
    <brk id="37" max="7" man="1"/>
    <brk id="67"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59DDE-788B-4D9C-A3D7-F348E45CE287}">
  <sheetPr>
    <tabColor rgb="FFFFFF99"/>
    <pageSetUpPr fitToPage="1"/>
  </sheetPr>
  <dimension ref="A1:Q84"/>
  <sheetViews>
    <sheetView topLeftCell="A47" zoomScaleNormal="100" workbookViewId="0">
      <selection activeCell="A29" sqref="A29:Q3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198</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156</v>
      </c>
      <c r="P7" s="467"/>
      <c r="Q7" s="157"/>
    </row>
    <row r="8" spans="1:17" ht="19.95" customHeight="1" x14ac:dyDescent="0.3">
      <c r="A8" s="133"/>
      <c r="B8" s="17" t="s">
        <v>218</v>
      </c>
      <c r="C8" s="474"/>
      <c r="D8" s="474"/>
      <c r="E8" s="474"/>
      <c r="F8" s="474"/>
      <c r="G8" s="19"/>
      <c r="H8" s="19"/>
      <c r="I8" s="19"/>
      <c r="J8" s="19"/>
      <c r="K8" s="18"/>
      <c r="L8" s="18"/>
      <c r="M8" s="18"/>
      <c r="N8" s="17" t="s">
        <v>72</v>
      </c>
      <c r="O8" s="469" t="s">
        <v>157</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Pep Band</v>
      </c>
      <c r="B12" s="201"/>
      <c r="C12" s="201"/>
      <c r="D12" s="187">
        <f>+P51</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
        <v>286</v>
      </c>
      <c r="D13" s="190">
        <f>+P54</f>
        <v>0</v>
      </c>
      <c r="E13" s="191">
        <f>ROUND(+D13*0.08,0)</f>
        <v>0</v>
      </c>
      <c r="F13" s="192">
        <f>SUM(D13:E13)</f>
        <v>0</v>
      </c>
      <c r="G13" s="90"/>
      <c r="H13" s="111" t="s">
        <v>148</v>
      </c>
      <c r="I13" s="89"/>
      <c r="J13" s="89"/>
      <c r="K13" s="19"/>
      <c r="L13" s="108"/>
      <c r="M13" s="108"/>
      <c r="N13" s="108"/>
      <c r="O13" s="108"/>
      <c r="P13" s="109"/>
      <c r="Q13" s="110"/>
    </row>
    <row r="14" spans="1:17" ht="15" customHeight="1" x14ac:dyDescent="0.25">
      <c r="A14" s="200" t="s">
        <v>245</v>
      </c>
      <c r="B14" s="201"/>
      <c r="C14" s="201"/>
      <c r="D14" s="190">
        <f>+P57</f>
        <v>0</v>
      </c>
      <c r="E14" s="191">
        <f>ROUND(+D14*0.08,0)</f>
        <v>0</v>
      </c>
      <c r="F14" s="192">
        <f>SUM(D14:E14)</f>
        <v>0</v>
      </c>
      <c r="G14" s="90"/>
      <c r="H14" s="111" t="s">
        <v>149</v>
      </c>
      <c r="I14" s="89"/>
      <c r="J14" s="89"/>
      <c r="K14" s="19"/>
      <c r="L14" s="108"/>
      <c r="M14" s="108"/>
      <c r="N14" s="108"/>
      <c r="O14" s="108"/>
      <c r="P14" s="109"/>
      <c r="Q14" s="110"/>
    </row>
    <row r="15" spans="1:17" ht="15" customHeight="1" x14ac:dyDescent="0.25">
      <c r="A15" s="200"/>
      <c r="B15" s="201"/>
      <c r="C15" s="201"/>
      <c r="D15" s="193">
        <v>0</v>
      </c>
      <c r="E15" s="191">
        <f t="shared" ref="E15:E25" si="0">ROUND(+D15*0.08,0)</f>
        <v>0</v>
      </c>
      <c r="F15" s="192">
        <f t="shared" ref="F15:F17" si="1">SUM(D15:E15)</f>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0"/>
        <v>0</v>
      </c>
      <c r="F16" s="192">
        <f t="shared" si="1"/>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0"/>
        <v>0</v>
      </c>
      <c r="F17" s="192">
        <f t="shared" si="1"/>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0"/>
        <v>0</v>
      </c>
      <c r="F18" s="192">
        <v>0</v>
      </c>
      <c r="G18" s="90"/>
      <c r="H18" s="19"/>
      <c r="I18" s="89"/>
      <c r="J18" s="89"/>
      <c r="K18" s="19"/>
      <c r="L18" s="108"/>
      <c r="M18" s="108"/>
      <c r="N18" s="108"/>
      <c r="O18" s="108"/>
      <c r="P18" s="109"/>
      <c r="Q18" s="113"/>
    </row>
    <row r="19" spans="1:17" ht="15" customHeight="1" x14ac:dyDescent="0.25">
      <c r="A19" s="200"/>
      <c r="B19" s="201"/>
      <c r="C19" s="201"/>
      <c r="D19" s="194">
        <v>0</v>
      </c>
      <c r="E19" s="191">
        <f t="shared" si="0"/>
        <v>0</v>
      </c>
      <c r="F19" s="192">
        <v>0</v>
      </c>
      <c r="G19" s="90"/>
      <c r="H19" s="95" t="s">
        <v>143</v>
      </c>
      <c r="I19" s="114"/>
      <c r="J19" s="114"/>
      <c r="K19" s="11"/>
      <c r="L19" s="116"/>
      <c r="M19" s="116"/>
      <c r="N19" s="116"/>
      <c r="O19" s="116"/>
      <c r="P19" s="117"/>
      <c r="Q19" s="94"/>
    </row>
    <row r="20" spans="1:17" ht="15" customHeight="1" x14ac:dyDescent="0.25">
      <c r="A20" s="200"/>
      <c r="B20" s="201"/>
      <c r="C20" s="201"/>
      <c r="D20" s="194">
        <v>0</v>
      </c>
      <c r="E20" s="191">
        <f t="shared" si="0"/>
        <v>0</v>
      </c>
      <c r="F20" s="192">
        <v>0</v>
      </c>
      <c r="G20" s="90"/>
      <c r="H20" s="118" t="s">
        <v>205</v>
      </c>
      <c r="I20" s="89"/>
      <c r="J20" s="89"/>
      <c r="K20" s="19"/>
      <c r="L20" s="119"/>
      <c r="M20" s="119"/>
      <c r="N20" s="119"/>
      <c r="O20" s="119"/>
      <c r="P20" s="109"/>
      <c r="Q20" s="113"/>
    </row>
    <row r="21" spans="1:17" ht="15" customHeight="1" x14ac:dyDescent="0.25">
      <c r="A21" s="200"/>
      <c r="B21" s="201"/>
      <c r="C21" s="201"/>
      <c r="D21" s="194">
        <v>0</v>
      </c>
      <c r="E21" s="191">
        <f t="shared" si="0"/>
        <v>0</v>
      </c>
      <c r="F21" s="192">
        <v>0</v>
      </c>
      <c r="G21" s="90"/>
      <c r="H21" s="118" t="s">
        <v>201</v>
      </c>
      <c r="I21" s="89"/>
      <c r="J21" s="89"/>
      <c r="K21" s="19"/>
      <c r="L21" s="119"/>
      <c r="M21" s="119"/>
      <c r="N21" s="119"/>
      <c r="O21" s="119"/>
      <c r="P21" s="109"/>
      <c r="Q21" s="113"/>
    </row>
    <row r="22" spans="1:17" ht="15" customHeight="1" thickBot="1" x14ac:dyDescent="0.3">
      <c r="A22" s="200"/>
      <c r="B22" s="201"/>
      <c r="C22" s="201"/>
      <c r="D22" s="194">
        <v>0</v>
      </c>
      <c r="E22" s="191">
        <f t="shared" si="0"/>
        <v>0</v>
      </c>
      <c r="F22" s="192">
        <v>0</v>
      </c>
      <c r="G22" s="90"/>
      <c r="H22" s="106"/>
      <c r="I22" s="89"/>
      <c r="J22" s="89"/>
      <c r="K22" s="19"/>
      <c r="L22" s="119"/>
      <c r="M22" s="119"/>
      <c r="N22" s="119"/>
      <c r="O22" s="119"/>
      <c r="P22" s="109"/>
      <c r="Q22" s="113"/>
    </row>
    <row r="23" spans="1:17" ht="15" customHeight="1" x14ac:dyDescent="0.25">
      <c r="A23" s="200"/>
      <c r="B23" s="201"/>
      <c r="C23" s="201"/>
      <c r="D23" s="194">
        <v>0</v>
      </c>
      <c r="E23" s="191">
        <f t="shared" si="0"/>
        <v>0</v>
      </c>
      <c r="F23" s="192">
        <v>0</v>
      </c>
      <c r="G23" s="90"/>
      <c r="H23" s="23" t="s">
        <v>69</v>
      </c>
      <c r="I23" s="25"/>
      <c r="J23" s="28"/>
      <c r="K23" s="28"/>
      <c r="L23" s="28"/>
      <c r="M23" s="116"/>
      <c r="N23" s="116"/>
      <c r="O23" s="116"/>
      <c r="P23" s="117"/>
      <c r="Q23" s="94"/>
    </row>
    <row r="24" spans="1:17" ht="15" customHeight="1" x14ac:dyDescent="0.25">
      <c r="A24" s="200"/>
      <c r="B24" s="201"/>
      <c r="C24" s="201"/>
      <c r="D24" s="194">
        <v>0</v>
      </c>
      <c r="E24" s="191">
        <f t="shared" si="0"/>
        <v>0</v>
      </c>
      <c r="F24" s="192">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0"/>
        <v>0</v>
      </c>
      <c r="F25" s="281">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65"/>
      <c r="L26" s="165"/>
      <c r="M26" s="119"/>
      <c r="N26" s="119"/>
      <c r="O26" s="119"/>
      <c r="P26" s="109"/>
      <c r="Q26" s="113"/>
    </row>
    <row r="27" spans="1:17" ht="13.8" customHeight="1" thickBot="1" x14ac:dyDescent="0.3">
      <c r="A27" s="120"/>
      <c r="B27" s="121"/>
      <c r="C27" s="121"/>
      <c r="D27" s="121"/>
      <c r="E27" s="121"/>
      <c r="F27" s="121"/>
      <c r="G27" s="35"/>
      <c r="H27" s="122"/>
      <c r="I27" s="123"/>
      <c r="J27" s="34"/>
      <c r="K27" s="34"/>
      <c r="L27" s="34"/>
      <c r="M27" s="135"/>
      <c r="N27" s="135"/>
      <c r="O27" s="135"/>
      <c r="P27" s="136"/>
      <c r="Q27" s="137"/>
    </row>
    <row r="28" spans="1:17" ht="13.8" customHeight="1" x14ac:dyDescent="0.25">
      <c r="A28" s="129" t="s">
        <v>220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219</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thickBot="1" x14ac:dyDescent="0.3">
      <c r="A49" s="452" t="s">
        <v>26</v>
      </c>
      <c r="B49" s="453"/>
      <c r="C49" s="475">
        <f>+'HS - Positions and Funding'!B54</f>
        <v>2492</v>
      </c>
      <c r="D49" s="446" t="s">
        <v>57</v>
      </c>
      <c r="E49" s="446"/>
      <c r="F49" s="399" t="str">
        <f>+'HS - Positions and Funding'!$E$54</f>
        <v>H</v>
      </c>
      <c r="G49" s="451"/>
      <c r="H49" s="451"/>
      <c r="I49" s="451"/>
      <c r="J49" s="169"/>
      <c r="K49" s="170"/>
      <c r="L49" s="170"/>
      <c r="M49" s="169"/>
      <c r="N49" s="171">
        <f>IF(M49&gt;0,HLOOKUP(F49,Tables!$D$3:$M$22,M49+1,0),0)</f>
        <v>0</v>
      </c>
      <c r="O49" s="172">
        <v>0</v>
      </c>
      <c r="P49" s="172">
        <v>0</v>
      </c>
      <c r="Q49" s="173">
        <f>SUM(O49:P49)</f>
        <v>0</v>
      </c>
    </row>
    <row r="50" spans="1:17" ht="19.95" customHeight="1" x14ac:dyDescent="0.25">
      <c r="A50" s="454"/>
      <c r="B50" s="455"/>
      <c r="C50" s="476"/>
      <c r="D50" s="445" t="s">
        <v>56</v>
      </c>
      <c r="E50" s="445"/>
      <c r="F50" s="399" t="str">
        <f>+'HS - Positions and Funding'!$E$55</f>
        <v>J</v>
      </c>
      <c r="G50" s="450"/>
      <c r="H50" s="450"/>
      <c r="I50" s="450"/>
      <c r="J50" s="175"/>
      <c r="K50" s="175"/>
      <c r="L50" s="175"/>
      <c r="M50" s="175"/>
      <c r="N50" s="176">
        <f>IF(M50&gt;0,HLOOKUP(F50,Tables!$D$3:$M$22,M50+1,0),0)</f>
        <v>0</v>
      </c>
      <c r="O50" s="177">
        <v>0</v>
      </c>
      <c r="P50" s="177">
        <v>0</v>
      </c>
      <c r="Q50" s="178">
        <f t="shared" ref="Q50:Q51" si="2">SUM(O50:P50)</f>
        <v>0</v>
      </c>
    </row>
    <row r="51" spans="1:17" s="143" customFormat="1" ht="19.95" customHeight="1" thickBot="1" x14ac:dyDescent="0.35">
      <c r="A51" s="456"/>
      <c r="B51" s="457"/>
      <c r="C51" s="477"/>
      <c r="D51" s="447" t="str">
        <f>CONCATENATE(A49," Totals")</f>
        <v>Pep Band Totals</v>
      </c>
      <c r="E51" s="448"/>
      <c r="F51" s="448"/>
      <c r="G51" s="448"/>
      <c r="H51" s="448"/>
      <c r="I51" s="448"/>
      <c r="J51" s="448"/>
      <c r="K51" s="448"/>
      <c r="L51" s="448"/>
      <c r="M51" s="449"/>
      <c r="N51" s="180">
        <f>SUM(N49:N50)</f>
        <v>0</v>
      </c>
      <c r="O51" s="180">
        <f>SUM(O49:O50)</f>
        <v>0</v>
      </c>
      <c r="P51" s="180">
        <f>SUM(P49:P50)</f>
        <v>0</v>
      </c>
      <c r="Q51" s="181">
        <f t="shared" si="2"/>
        <v>0</v>
      </c>
    </row>
    <row r="52" spans="1:17" s="143" customFormat="1" ht="19.95" customHeight="1" x14ac:dyDescent="0.25">
      <c r="A52" s="452" t="s">
        <v>286</v>
      </c>
      <c r="B52" s="453"/>
      <c r="C52" s="475">
        <f>+'HS - Positions and Funding'!B80</f>
        <v>0</v>
      </c>
      <c r="D52" s="445" t="s">
        <v>58</v>
      </c>
      <c r="E52" s="445"/>
      <c r="F52" s="398" t="str">
        <f>+'HS - Positions and Funding'!$E$80</f>
        <v>F</v>
      </c>
      <c r="G52" s="450"/>
      <c r="H52" s="450"/>
      <c r="I52" s="450"/>
      <c r="J52" s="175"/>
      <c r="K52" s="175"/>
      <c r="L52" s="175"/>
      <c r="M52" s="175"/>
      <c r="N52" s="176">
        <f>IF(M52&gt;0,HLOOKUP(F52,Tables!$D$3:$M$22,M52+1,0),0)</f>
        <v>0</v>
      </c>
      <c r="O52" s="213" t="s">
        <v>79</v>
      </c>
      <c r="P52" s="177">
        <v>0</v>
      </c>
      <c r="Q52" s="178">
        <f t="shared" ref="Q52" si="3">SUM(O52:P52)</f>
        <v>0</v>
      </c>
    </row>
    <row r="53" spans="1:17" s="143" customFormat="1" ht="19.95" customHeight="1" x14ac:dyDescent="0.25">
      <c r="A53" s="494"/>
      <c r="B53" s="495"/>
      <c r="C53" s="496"/>
      <c r="D53" s="445" t="s">
        <v>59</v>
      </c>
      <c r="E53" s="445"/>
      <c r="F53" s="398" t="str">
        <f>+'HS - Positions and Funding'!$E$81</f>
        <v>I</v>
      </c>
      <c r="G53" s="450"/>
      <c r="H53" s="450"/>
      <c r="I53" s="450"/>
      <c r="J53" s="175"/>
      <c r="K53" s="175"/>
      <c r="L53" s="175"/>
      <c r="M53" s="175"/>
      <c r="N53" s="176">
        <f>IF(M53&gt;0,HLOOKUP(F53,Tables!$D$3:$M$22,M53+1,0),0)</f>
        <v>0</v>
      </c>
      <c r="O53" s="213" t="s">
        <v>79</v>
      </c>
      <c r="P53" s="177">
        <v>0</v>
      </c>
      <c r="Q53" s="178">
        <f t="shared" ref="Q53:Q54" si="4">SUM(O53:P53)</f>
        <v>0</v>
      </c>
    </row>
    <row r="54" spans="1:17" s="143" customFormat="1" ht="19.95" customHeight="1" thickBot="1" x14ac:dyDescent="0.35">
      <c r="A54" s="456"/>
      <c r="B54" s="457"/>
      <c r="C54" s="477"/>
      <c r="D54" s="447" t="str">
        <f>CONCATENATE(A52," Totals")</f>
        <v>Winter Drum Line Totals</v>
      </c>
      <c r="E54" s="448"/>
      <c r="F54" s="448"/>
      <c r="G54" s="448"/>
      <c r="H54" s="448"/>
      <c r="I54" s="448"/>
      <c r="J54" s="448"/>
      <c r="K54" s="448"/>
      <c r="L54" s="448"/>
      <c r="M54" s="449"/>
      <c r="N54" s="180">
        <f>SUM(N52:N53)</f>
        <v>0</v>
      </c>
      <c r="O54" s="180">
        <f>SUM(O52:O53)</f>
        <v>0</v>
      </c>
      <c r="P54" s="180">
        <f>SUM(P52:P53)</f>
        <v>0</v>
      </c>
      <c r="Q54" s="181">
        <f t="shared" si="4"/>
        <v>0</v>
      </c>
    </row>
    <row r="55" spans="1:17" s="143" customFormat="1" ht="19.95" customHeight="1" x14ac:dyDescent="0.25">
      <c r="A55" s="452" t="s">
        <v>245</v>
      </c>
      <c r="B55" s="453"/>
      <c r="C55" s="475">
        <f>+'HS - Positions and Funding'!B82</f>
        <v>0</v>
      </c>
      <c r="D55" s="445" t="s">
        <v>58</v>
      </c>
      <c r="E55" s="445"/>
      <c r="F55" s="398" t="str">
        <f>+'HS - Positions and Funding'!$E$82</f>
        <v>F</v>
      </c>
      <c r="G55" s="450"/>
      <c r="H55" s="450"/>
      <c r="I55" s="450"/>
      <c r="J55" s="175"/>
      <c r="K55" s="175"/>
      <c r="L55" s="175"/>
      <c r="M55" s="175"/>
      <c r="N55" s="176">
        <f>IF(M55&gt;0,HLOOKUP(F55,Tables!$D$3:$M$22,M55+1,0),0)</f>
        <v>0</v>
      </c>
      <c r="O55" s="213" t="s">
        <v>79</v>
      </c>
      <c r="P55" s="177">
        <v>0</v>
      </c>
      <c r="Q55" s="178">
        <f t="shared" ref="Q55" si="5">SUM(O55:P55)</f>
        <v>0</v>
      </c>
    </row>
    <row r="56" spans="1:17" s="143" customFormat="1" ht="19.95" customHeight="1" x14ac:dyDescent="0.25">
      <c r="A56" s="494"/>
      <c r="B56" s="495"/>
      <c r="C56" s="496"/>
      <c r="D56" s="445" t="s">
        <v>59</v>
      </c>
      <c r="E56" s="445"/>
      <c r="F56" s="398" t="str">
        <f>+'HS - Positions and Funding'!$E$83</f>
        <v>I</v>
      </c>
      <c r="G56" s="450"/>
      <c r="H56" s="450"/>
      <c r="I56" s="450"/>
      <c r="J56" s="175"/>
      <c r="K56" s="175"/>
      <c r="L56" s="175"/>
      <c r="M56" s="175"/>
      <c r="N56" s="176">
        <f>IF(M56&gt;0,HLOOKUP(F56,Tables!$D$3:$M$22,M56+1,0),0)</f>
        <v>0</v>
      </c>
      <c r="O56" s="213" t="s">
        <v>79</v>
      </c>
      <c r="P56" s="177">
        <v>0</v>
      </c>
      <c r="Q56" s="178">
        <f t="shared" ref="Q56:Q57" si="6">SUM(O56:P56)</f>
        <v>0</v>
      </c>
    </row>
    <row r="57" spans="1:17" s="143" customFormat="1" ht="19.95" customHeight="1" thickBot="1" x14ac:dyDescent="0.35">
      <c r="A57" s="456"/>
      <c r="B57" s="457"/>
      <c r="C57" s="477"/>
      <c r="D57" s="447" t="str">
        <f>CONCATENATE(A55," Totals")</f>
        <v>Winter Guard Totals</v>
      </c>
      <c r="E57" s="448"/>
      <c r="F57" s="448"/>
      <c r="G57" s="448"/>
      <c r="H57" s="448"/>
      <c r="I57" s="448"/>
      <c r="J57" s="448"/>
      <c r="K57" s="448"/>
      <c r="L57" s="448"/>
      <c r="M57" s="449"/>
      <c r="N57" s="180">
        <f>SUM(N55:N56)</f>
        <v>0</v>
      </c>
      <c r="O57" s="180">
        <f>SUM(O55:O56)</f>
        <v>0</v>
      </c>
      <c r="P57" s="180">
        <f>SUM(P55:P56)</f>
        <v>0</v>
      </c>
      <c r="Q57" s="181">
        <f t="shared" si="6"/>
        <v>0</v>
      </c>
    </row>
    <row r="58" spans="1:17" s="142" customFormat="1" ht="19.95" customHeight="1" thickBot="1" x14ac:dyDescent="0.35">
      <c r="A58" s="182"/>
      <c r="B58" s="183"/>
      <c r="C58" s="183"/>
      <c r="D58" s="183"/>
      <c r="E58" s="183"/>
      <c r="F58" s="183"/>
      <c r="G58" s="183"/>
      <c r="H58" s="183"/>
      <c r="I58" s="183"/>
      <c r="J58" s="183"/>
      <c r="K58" s="183"/>
      <c r="L58" s="183"/>
      <c r="M58" s="184" t="s">
        <v>134</v>
      </c>
      <c r="N58" s="185">
        <f>+N51+N57+N54</f>
        <v>0</v>
      </c>
      <c r="O58" s="185">
        <f>+O51+O57+O54</f>
        <v>0</v>
      </c>
      <c r="P58" s="185">
        <f>+P51+P57+P54</f>
        <v>0</v>
      </c>
      <c r="Q58" s="186">
        <f>+Q51+Q57+Q54</f>
        <v>0</v>
      </c>
    </row>
    <row r="59" spans="1:17" ht="12.75" customHeight="1" x14ac:dyDescent="0.25">
      <c r="A59" s="152" t="s">
        <v>178</v>
      </c>
      <c r="B59" s="11"/>
      <c r="C59" s="11"/>
      <c r="D59" s="11"/>
      <c r="E59" s="11"/>
      <c r="F59" s="11"/>
      <c r="G59" s="11"/>
      <c r="H59" s="11"/>
      <c r="I59" s="11"/>
      <c r="J59" s="11"/>
      <c r="K59" s="11"/>
      <c r="L59" s="11"/>
      <c r="M59" s="11"/>
      <c r="N59" s="11"/>
      <c r="O59" s="11"/>
      <c r="P59" s="11"/>
      <c r="Q59" s="132"/>
    </row>
    <row r="60" spans="1:17" ht="12.75" customHeight="1" x14ac:dyDescent="0.25">
      <c r="A60" s="153" t="s">
        <v>221</v>
      </c>
      <c r="B60" s="19"/>
      <c r="C60" s="19"/>
      <c r="D60" s="19"/>
      <c r="E60" s="19"/>
      <c r="F60" s="19"/>
      <c r="G60" s="19"/>
      <c r="H60" s="19"/>
      <c r="I60" s="19"/>
      <c r="J60" s="19"/>
      <c r="K60" s="19"/>
      <c r="L60" s="19"/>
      <c r="M60" s="19"/>
      <c r="N60" s="19"/>
      <c r="O60" s="19"/>
      <c r="P60" s="19"/>
      <c r="Q60" s="29"/>
    </row>
    <row r="61" spans="1:17" ht="12.75" customHeight="1" x14ac:dyDescent="0.25">
      <c r="A61" s="154" t="s">
        <v>179</v>
      </c>
      <c r="B61" s="19"/>
      <c r="C61" s="19"/>
      <c r="D61" s="19"/>
      <c r="E61" s="19"/>
      <c r="F61" s="19"/>
      <c r="G61" s="19"/>
      <c r="H61" s="19"/>
      <c r="I61" s="19"/>
      <c r="J61" s="19"/>
      <c r="K61" s="19"/>
      <c r="L61" s="19"/>
      <c r="M61" s="19"/>
      <c r="N61" s="19"/>
      <c r="O61" s="19"/>
      <c r="P61" s="19"/>
      <c r="Q61" s="29"/>
    </row>
    <row r="62" spans="1:17" ht="12.75" customHeight="1" x14ac:dyDescent="0.25">
      <c r="A62" s="154" t="s">
        <v>207</v>
      </c>
      <c r="B62" s="19"/>
      <c r="C62" s="19"/>
      <c r="D62" s="19"/>
      <c r="E62" s="19"/>
      <c r="F62" s="19"/>
      <c r="G62" s="19"/>
      <c r="H62" s="19"/>
      <c r="I62" s="19"/>
      <c r="J62" s="19"/>
      <c r="K62" s="19"/>
      <c r="L62" s="19"/>
      <c r="M62" s="19"/>
      <c r="N62" s="19"/>
      <c r="O62" s="19"/>
      <c r="P62" s="19"/>
      <c r="Q62" s="29"/>
    </row>
    <row r="63" spans="1:17" ht="12.75" customHeight="1" x14ac:dyDescent="0.25">
      <c r="A63" s="154" t="s">
        <v>208</v>
      </c>
      <c r="B63" s="19"/>
      <c r="C63" s="19"/>
      <c r="D63" s="19"/>
      <c r="E63" s="19"/>
      <c r="F63" s="19"/>
      <c r="G63" s="19"/>
      <c r="H63" s="19"/>
      <c r="I63" s="19"/>
      <c r="J63" s="19"/>
      <c r="K63" s="19"/>
      <c r="L63" s="19"/>
      <c r="M63" s="19"/>
      <c r="N63" s="19"/>
      <c r="O63" s="19"/>
      <c r="P63" s="19"/>
      <c r="Q63" s="29"/>
    </row>
    <row r="64" spans="1:17" x14ac:dyDescent="0.25">
      <c r="A64" s="153" t="s">
        <v>171</v>
      </c>
      <c r="B64" s="19"/>
      <c r="C64" s="19"/>
      <c r="D64" s="19"/>
      <c r="E64" s="19"/>
      <c r="F64" s="19"/>
      <c r="G64" s="19"/>
      <c r="H64" s="19"/>
      <c r="I64" s="19"/>
      <c r="J64" s="19"/>
      <c r="K64" s="19"/>
      <c r="L64" s="19"/>
      <c r="M64" s="19"/>
      <c r="N64" s="19"/>
      <c r="O64" s="19"/>
      <c r="P64" s="19"/>
      <c r="Q64" s="29"/>
    </row>
    <row r="65" spans="1:17" x14ac:dyDescent="0.25">
      <c r="A65" s="154" t="s">
        <v>222</v>
      </c>
      <c r="B65" s="19"/>
      <c r="C65" s="19"/>
      <c r="D65" s="19"/>
      <c r="E65" s="19"/>
      <c r="F65" s="19"/>
      <c r="G65" s="19"/>
      <c r="H65" s="19"/>
      <c r="I65" s="19"/>
      <c r="J65" s="19"/>
      <c r="K65" s="19"/>
      <c r="L65" s="19"/>
      <c r="M65" s="19"/>
      <c r="N65" s="19"/>
      <c r="O65" s="19"/>
      <c r="P65" s="19"/>
      <c r="Q65" s="29"/>
    </row>
    <row r="66" spans="1:17" x14ac:dyDescent="0.25">
      <c r="A66" s="155" t="s">
        <v>177</v>
      </c>
      <c r="B66" s="19"/>
      <c r="C66" s="19"/>
      <c r="D66" s="19"/>
      <c r="E66" s="19"/>
      <c r="F66" s="19"/>
      <c r="G66" s="19"/>
      <c r="H66" s="19"/>
      <c r="I66" s="19"/>
      <c r="J66" s="19"/>
      <c r="K66" s="19"/>
      <c r="L66" s="19"/>
      <c r="M66" s="19"/>
      <c r="N66" s="19"/>
      <c r="O66" s="19"/>
      <c r="P66" s="19"/>
      <c r="Q66" s="29"/>
    </row>
    <row r="67" spans="1:17" x14ac:dyDescent="0.25">
      <c r="A67" s="155" t="s">
        <v>209</v>
      </c>
      <c r="B67" s="19"/>
      <c r="C67" s="19"/>
      <c r="D67" s="19"/>
      <c r="E67" s="19"/>
      <c r="F67" s="19"/>
      <c r="G67" s="19"/>
      <c r="H67" s="19"/>
      <c r="I67" s="19"/>
      <c r="J67" s="19"/>
      <c r="K67" s="19"/>
      <c r="L67" s="19"/>
      <c r="M67" s="19"/>
      <c r="N67" s="19"/>
      <c r="O67" s="19"/>
      <c r="P67" s="19"/>
      <c r="Q67" s="29"/>
    </row>
    <row r="68" spans="1:17" x14ac:dyDescent="0.25">
      <c r="A68" s="156" t="s">
        <v>172</v>
      </c>
      <c r="B68" s="19"/>
      <c r="C68" s="19"/>
      <c r="D68" s="19"/>
      <c r="E68" s="19"/>
      <c r="F68" s="19"/>
      <c r="G68" s="19"/>
      <c r="H68" s="19"/>
      <c r="I68" s="19"/>
      <c r="J68" s="19"/>
      <c r="K68" s="19"/>
      <c r="L68" s="19"/>
      <c r="M68" s="19"/>
      <c r="N68" s="19"/>
      <c r="O68" s="19"/>
      <c r="P68" s="19"/>
      <c r="Q68" s="29"/>
    </row>
    <row r="69" spans="1:17" x14ac:dyDescent="0.25">
      <c r="A69" s="155" t="s">
        <v>223</v>
      </c>
      <c r="B69" s="19"/>
      <c r="C69" s="19"/>
      <c r="D69" s="19"/>
      <c r="E69" s="19"/>
      <c r="F69" s="19"/>
      <c r="G69" s="19"/>
      <c r="H69" s="19"/>
      <c r="I69" s="19"/>
      <c r="J69" s="19"/>
      <c r="K69" s="19"/>
      <c r="L69" s="19"/>
      <c r="M69" s="19"/>
      <c r="N69" s="19"/>
      <c r="O69" s="19"/>
      <c r="P69" s="19"/>
      <c r="Q69" s="29"/>
    </row>
    <row r="70" spans="1:17" x14ac:dyDescent="0.25">
      <c r="A70" s="155" t="s">
        <v>210</v>
      </c>
      <c r="B70" s="19"/>
      <c r="C70" s="19"/>
      <c r="D70" s="19"/>
      <c r="E70" s="19"/>
      <c r="F70" s="19"/>
      <c r="G70" s="19"/>
      <c r="H70" s="19"/>
      <c r="I70" s="19"/>
      <c r="J70" s="19"/>
      <c r="K70" s="19"/>
      <c r="L70" s="19"/>
      <c r="M70" s="19"/>
      <c r="N70" s="19"/>
      <c r="O70" s="19"/>
      <c r="P70" s="19"/>
      <c r="Q70" s="29"/>
    </row>
    <row r="71" spans="1:17" x14ac:dyDescent="0.25">
      <c r="A71" s="156" t="s">
        <v>173</v>
      </c>
      <c r="B71" s="19"/>
      <c r="C71" s="19"/>
      <c r="D71" s="19"/>
      <c r="E71" s="19"/>
      <c r="F71" s="19"/>
      <c r="G71" s="19"/>
      <c r="H71" s="19"/>
      <c r="I71" s="19"/>
      <c r="J71" s="19"/>
      <c r="K71" s="19"/>
      <c r="L71" s="19"/>
      <c r="M71" s="19"/>
      <c r="N71" s="19"/>
      <c r="O71" s="19"/>
      <c r="P71" s="19"/>
      <c r="Q71" s="29"/>
    </row>
    <row r="72" spans="1:17" x14ac:dyDescent="0.25">
      <c r="A72" s="155" t="s">
        <v>224</v>
      </c>
      <c r="B72" s="19"/>
      <c r="C72" s="19"/>
      <c r="D72" s="19"/>
      <c r="E72" s="19"/>
      <c r="F72" s="19"/>
      <c r="G72" s="19"/>
      <c r="H72" s="19"/>
      <c r="I72" s="19"/>
      <c r="J72" s="19"/>
      <c r="K72" s="19"/>
      <c r="L72" s="19"/>
      <c r="M72" s="19"/>
      <c r="N72" s="19"/>
      <c r="O72" s="19"/>
      <c r="P72" s="19"/>
      <c r="Q72" s="29"/>
    </row>
    <row r="73" spans="1:17" x14ac:dyDescent="0.25">
      <c r="A73" s="155" t="s">
        <v>176</v>
      </c>
      <c r="B73" s="19"/>
      <c r="C73" s="19"/>
      <c r="D73" s="19"/>
      <c r="E73" s="19"/>
      <c r="F73" s="19"/>
      <c r="G73" s="19"/>
      <c r="H73" s="19"/>
      <c r="I73" s="19"/>
      <c r="J73" s="19"/>
      <c r="K73" s="19"/>
      <c r="L73" s="19"/>
      <c r="M73" s="19"/>
      <c r="N73" s="19"/>
      <c r="O73" s="19"/>
      <c r="P73" s="19"/>
      <c r="Q73" s="29"/>
    </row>
    <row r="74" spans="1:17" x14ac:dyDescent="0.25">
      <c r="A74" s="155" t="s">
        <v>212</v>
      </c>
      <c r="B74" s="19"/>
      <c r="C74" s="19"/>
      <c r="D74" s="19"/>
      <c r="E74" s="19"/>
      <c r="F74" s="19"/>
      <c r="G74" s="19"/>
      <c r="H74" s="19"/>
      <c r="I74" s="19"/>
      <c r="J74" s="19"/>
      <c r="K74" s="19"/>
      <c r="L74" s="19"/>
      <c r="M74" s="19"/>
      <c r="N74" s="19"/>
      <c r="O74" s="19"/>
      <c r="P74" s="19"/>
      <c r="Q74" s="29"/>
    </row>
    <row r="75" spans="1:17" x14ac:dyDescent="0.25">
      <c r="A75" s="156" t="s">
        <v>174</v>
      </c>
      <c r="B75" s="19"/>
      <c r="C75" s="19"/>
      <c r="D75" s="19"/>
      <c r="E75" s="19"/>
      <c r="F75" s="19"/>
      <c r="G75" s="19"/>
      <c r="H75" s="19"/>
      <c r="I75" s="19"/>
      <c r="J75" s="19"/>
      <c r="K75" s="19"/>
      <c r="L75" s="19"/>
      <c r="M75" s="19"/>
      <c r="N75" s="19"/>
      <c r="O75" s="19"/>
      <c r="P75" s="19"/>
      <c r="Q75" s="29"/>
    </row>
    <row r="76" spans="1:17" x14ac:dyDescent="0.25">
      <c r="A76" s="155" t="s">
        <v>213</v>
      </c>
      <c r="B76" s="19"/>
      <c r="C76" s="19"/>
      <c r="D76" s="19"/>
      <c r="E76" s="19"/>
      <c r="F76" s="19"/>
      <c r="G76" s="19"/>
      <c r="H76" s="19"/>
      <c r="I76" s="19"/>
      <c r="J76" s="19"/>
      <c r="K76" s="19"/>
      <c r="L76" s="19"/>
      <c r="M76" s="19"/>
      <c r="N76" s="19"/>
      <c r="O76" s="19"/>
      <c r="P76" s="19"/>
      <c r="Q76" s="29"/>
    </row>
    <row r="77" spans="1:17" x14ac:dyDescent="0.25">
      <c r="A77" s="155" t="s">
        <v>214</v>
      </c>
      <c r="B77" s="19"/>
      <c r="C77" s="19"/>
      <c r="D77" s="19"/>
      <c r="E77" s="19"/>
      <c r="F77" s="19"/>
      <c r="G77" s="19"/>
      <c r="H77" s="19"/>
      <c r="I77" s="19"/>
      <c r="J77" s="19"/>
      <c r="K77" s="19"/>
      <c r="L77" s="19"/>
      <c r="M77" s="19"/>
      <c r="N77" s="19"/>
      <c r="O77" s="19"/>
      <c r="P77" s="19"/>
      <c r="Q77" s="29"/>
    </row>
    <row r="78" spans="1:17" x14ac:dyDescent="0.25">
      <c r="A78" s="156" t="s">
        <v>175</v>
      </c>
      <c r="B78" s="19"/>
      <c r="C78" s="19"/>
      <c r="D78" s="19"/>
      <c r="E78" s="19"/>
      <c r="F78" s="19"/>
      <c r="G78" s="19"/>
      <c r="H78" s="19"/>
      <c r="I78" s="19"/>
      <c r="J78" s="19"/>
      <c r="K78" s="19"/>
      <c r="L78" s="19"/>
      <c r="M78" s="19"/>
      <c r="N78" s="19"/>
      <c r="O78" s="19"/>
      <c r="P78" s="19"/>
      <c r="Q78" s="29"/>
    </row>
    <row r="79" spans="1:17" x14ac:dyDescent="0.25">
      <c r="A79" s="155" t="s">
        <v>213</v>
      </c>
      <c r="B79" s="19"/>
      <c r="C79" s="19"/>
      <c r="D79" s="19"/>
      <c r="E79" s="19"/>
      <c r="F79" s="19"/>
      <c r="G79" s="19"/>
      <c r="H79" s="19"/>
      <c r="I79" s="19"/>
      <c r="J79" s="19"/>
      <c r="K79" s="19"/>
      <c r="L79" s="19"/>
      <c r="M79" s="19"/>
      <c r="N79" s="19"/>
      <c r="O79" s="19"/>
      <c r="P79" s="19"/>
      <c r="Q79" s="29"/>
    </row>
    <row r="80" spans="1:17" x14ac:dyDescent="0.25">
      <c r="A80" s="155" t="s">
        <v>190</v>
      </c>
      <c r="B80" s="19"/>
      <c r="C80" s="19"/>
      <c r="D80" s="19"/>
      <c r="E80" s="19"/>
      <c r="F80" s="19"/>
      <c r="G80" s="19"/>
      <c r="H80" s="19"/>
      <c r="I80" s="19"/>
      <c r="J80" s="19"/>
      <c r="K80" s="19"/>
      <c r="L80" s="19"/>
      <c r="M80" s="19"/>
      <c r="N80" s="19"/>
      <c r="O80" s="19"/>
      <c r="P80" s="19"/>
      <c r="Q80" s="29"/>
    </row>
    <row r="81" spans="1:17" x14ac:dyDescent="0.25">
      <c r="A81" s="156" t="s">
        <v>180</v>
      </c>
      <c r="B81" s="19"/>
      <c r="C81" s="19"/>
      <c r="D81" s="19"/>
      <c r="E81" s="19"/>
      <c r="F81" s="19"/>
      <c r="G81" s="19"/>
      <c r="H81" s="19"/>
      <c r="I81" s="19"/>
      <c r="J81" s="19"/>
      <c r="K81" s="19"/>
      <c r="L81" s="19"/>
      <c r="M81" s="19"/>
      <c r="N81" s="19"/>
      <c r="O81" s="19"/>
      <c r="P81" s="19"/>
      <c r="Q81" s="29"/>
    </row>
    <row r="82" spans="1:17" x14ac:dyDescent="0.25">
      <c r="A82" s="155" t="s">
        <v>215</v>
      </c>
      <c r="B82" s="19"/>
      <c r="C82" s="19"/>
      <c r="D82" s="19"/>
      <c r="E82" s="19"/>
      <c r="F82" s="19"/>
      <c r="G82" s="19"/>
      <c r="H82" s="19"/>
      <c r="I82" s="19"/>
      <c r="J82" s="19"/>
      <c r="K82" s="19"/>
      <c r="L82" s="19"/>
      <c r="M82" s="19"/>
      <c r="N82" s="19"/>
      <c r="O82" s="19"/>
      <c r="P82" s="19"/>
      <c r="Q82" s="29"/>
    </row>
    <row r="83" spans="1:17" x14ac:dyDescent="0.25">
      <c r="A83" s="155" t="s">
        <v>183</v>
      </c>
      <c r="B83" s="19"/>
      <c r="C83" s="19"/>
      <c r="D83" s="19"/>
      <c r="E83" s="19"/>
      <c r="F83" s="19"/>
      <c r="G83" s="19"/>
      <c r="H83" s="19"/>
      <c r="I83" s="19"/>
      <c r="J83" s="19"/>
      <c r="K83" s="19"/>
      <c r="L83" s="19"/>
      <c r="M83" s="19"/>
      <c r="N83" s="19"/>
      <c r="O83" s="19"/>
      <c r="P83" s="19"/>
      <c r="Q83" s="29"/>
    </row>
    <row r="84" spans="1:17" ht="13.8" thickBot="1" x14ac:dyDescent="0.3">
      <c r="A84" s="33"/>
      <c r="B84" s="34"/>
      <c r="C84" s="34"/>
      <c r="D84" s="34"/>
      <c r="E84" s="34"/>
      <c r="F84" s="34"/>
      <c r="G84" s="34"/>
      <c r="H84" s="34"/>
      <c r="I84" s="34"/>
      <c r="J84" s="34"/>
      <c r="K84" s="34"/>
      <c r="L84" s="34"/>
      <c r="M84" s="34"/>
      <c r="N84" s="34"/>
      <c r="O84" s="34"/>
      <c r="P84" s="34"/>
      <c r="Q84" s="35"/>
    </row>
  </sheetData>
  <sheetProtection algorithmName="SHA-512" hashValue="Z1ckpNkVSxv9ukZB32fAT4Hhgt8dB8j7cBDxzcRSOXkHukolvVadd4LstZz9zUeTPrd8lpt8/LYOLysGALd9nQ==" saltValue="KGifSScke79/sOrHgKoBzw==" spinCount="100000" sheet="1" selectLockedCells="1"/>
  <mergeCells count="46">
    <mergeCell ref="A52:B54"/>
    <mergeCell ref="C52:C54"/>
    <mergeCell ref="D52:E52"/>
    <mergeCell ref="G52:I52"/>
    <mergeCell ref="D53:E53"/>
    <mergeCell ref="G53:I53"/>
    <mergeCell ref="D54:M54"/>
    <mergeCell ref="A55:B57"/>
    <mergeCell ref="C55:C57"/>
    <mergeCell ref="D55:E55"/>
    <mergeCell ref="G55:I55"/>
    <mergeCell ref="D56:E56"/>
    <mergeCell ref="G56:I56"/>
    <mergeCell ref="D57:M57"/>
    <mergeCell ref="A48:B48"/>
    <mergeCell ref="G48:I48"/>
    <mergeCell ref="C8:F8"/>
    <mergeCell ref="O8:P8"/>
    <mergeCell ref="A2:Q2"/>
    <mergeCell ref="A3:Q3"/>
    <mergeCell ref="A5:Q5"/>
    <mergeCell ref="C7:F7"/>
    <mergeCell ref="O7:P7"/>
    <mergeCell ref="A29:Q32"/>
    <mergeCell ref="A34:Q37"/>
    <mergeCell ref="A39:Q39"/>
    <mergeCell ref="A40:E40"/>
    <mergeCell ref="G40:H40"/>
    <mergeCell ref="J40:N40"/>
    <mergeCell ref="P40:Q40"/>
    <mergeCell ref="D50:E50"/>
    <mergeCell ref="G50:I50"/>
    <mergeCell ref="D51:M51"/>
    <mergeCell ref="A49:B51"/>
    <mergeCell ref="C49:C51"/>
    <mergeCell ref="D49:E49"/>
    <mergeCell ref="G49:I49"/>
    <mergeCell ref="A47:Q47"/>
    <mergeCell ref="A42:E42"/>
    <mergeCell ref="G42:H42"/>
    <mergeCell ref="J42:N42"/>
    <mergeCell ref="P42:Q42"/>
    <mergeCell ref="A44:E44"/>
    <mergeCell ref="G44:H44"/>
    <mergeCell ref="J44:N44"/>
    <mergeCell ref="P44:Q44"/>
  </mergeCells>
  <conditionalFormatting sqref="Q50:Q51">
    <cfRule type="expression" dxfId="178" priority="33">
      <formula>Q50&gt;N50</formula>
    </cfRule>
  </conditionalFormatting>
  <conditionalFormatting sqref="O51">
    <cfRule type="expression" dxfId="177" priority="29">
      <formula>O51&gt;C49</formula>
    </cfRule>
  </conditionalFormatting>
  <conditionalFormatting sqref="Q49">
    <cfRule type="expression" dxfId="176" priority="28">
      <formula>Q49&gt;N49</formula>
    </cfRule>
  </conditionalFormatting>
  <conditionalFormatting sqref="K49:L50">
    <cfRule type="expression" dxfId="175" priority="15">
      <formula>K49="No"</formula>
    </cfRule>
  </conditionalFormatting>
  <conditionalFormatting sqref="Q56:Q57">
    <cfRule type="expression" dxfId="174" priority="14">
      <formula>Q56&gt;N56</formula>
    </cfRule>
  </conditionalFormatting>
  <conditionalFormatting sqref="O57">
    <cfRule type="expression" dxfId="173" priority="13">
      <formula>O57&gt;C55</formula>
    </cfRule>
  </conditionalFormatting>
  <conditionalFormatting sqref="K56:L56">
    <cfRule type="expression" dxfId="172" priority="12">
      <formula>K56="No"</formula>
    </cfRule>
  </conditionalFormatting>
  <conditionalFormatting sqref="Q53:Q54">
    <cfRule type="expression" dxfId="171" priority="9">
      <formula>Q53&gt;N53</formula>
    </cfRule>
  </conditionalFormatting>
  <conditionalFormatting sqref="O54">
    <cfRule type="expression" dxfId="170" priority="8">
      <formula>O54&gt;C52</formula>
    </cfRule>
  </conditionalFormatting>
  <conditionalFormatting sqref="K53:L53">
    <cfRule type="expression" dxfId="169" priority="7">
      <formula>K53="No"</formula>
    </cfRule>
  </conditionalFormatting>
  <conditionalFormatting sqref="Q52">
    <cfRule type="expression" dxfId="168" priority="4">
      <formula>Q52&gt;N52</formula>
    </cfRule>
  </conditionalFormatting>
  <conditionalFormatting sqref="K52:L52">
    <cfRule type="expression" dxfId="167" priority="3">
      <formula>K52="No"</formula>
    </cfRule>
  </conditionalFormatting>
  <conditionalFormatting sqref="Q55">
    <cfRule type="expression" dxfId="166" priority="2">
      <formula>Q55&gt;N55</formula>
    </cfRule>
  </conditionalFormatting>
  <conditionalFormatting sqref="K55:L55">
    <cfRule type="expression" dxfId="165" priority="1">
      <formula>K55="No"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58" max="16383"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72DFF00-F939-453A-8A20-784A348E0823}">
          <x14:formula1>
            <xm:f>Tables!$Q$21:$Q$23</xm:f>
          </x14:formula1>
          <xm:sqref>L49:L50 L55:L56 L52:L53</xm:sqref>
        </x14:dataValidation>
        <x14:dataValidation type="list" allowBlank="1" showInputMessage="1" showErrorMessage="1" xr:uid="{A42319CC-C541-422A-A029-810AAB70A28C}">
          <x14:formula1>
            <xm:f>Tables!$O$21:$O$23</xm:f>
          </x14:formula1>
          <xm:sqref>K49:K50 K55:K56 K52:K53</xm:sqref>
        </x14:dataValidation>
        <x14:dataValidation type="list" allowBlank="1" showInputMessage="1" showErrorMessage="1" xr:uid="{60BF581C-F260-4E22-8B33-81D2BE9511A2}">
          <x14:formula1>
            <xm:f>Tables!$C$3:$C$22</xm:f>
          </x14:formula1>
          <xm:sqref>M49:M50 M55:M56 M52:M53</xm:sqref>
        </x14:dataValidation>
        <x14:dataValidation type="list" allowBlank="1" showInputMessage="1" showErrorMessage="1" xr:uid="{E92CAFCD-C803-4DC1-8766-5398EE470BDC}">
          <x14:formula1>
            <xm:f>Tables!$Q$2:$Q$7</xm:f>
          </x14:formula1>
          <xm:sqref>C7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Q142"/>
  <sheetViews>
    <sheetView topLeftCell="A7" zoomScaleNormal="100" workbookViewId="0">
      <selection activeCell="A29" sqref="A29:Q3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195</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158</v>
      </c>
      <c r="P7" s="467"/>
      <c r="Q7" s="157"/>
    </row>
    <row r="8" spans="1:17" ht="19.95" customHeight="1" x14ac:dyDescent="0.3">
      <c r="A8" s="133"/>
      <c r="B8" s="17" t="s">
        <v>163</v>
      </c>
      <c r="C8" s="474"/>
      <c r="D8" s="474"/>
      <c r="E8" s="474"/>
      <c r="F8" s="474"/>
      <c r="G8" s="19"/>
      <c r="H8" s="19"/>
      <c r="I8" s="19"/>
      <c r="J8" s="19"/>
      <c r="K8" s="18"/>
      <c r="L8" s="18"/>
      <c r="M8" s="18"/>
      <c r="N8" s="17" t="s">
        <v>72</v>
      </c>
      <c r="O8" s="469" t="s">
        <v>159</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Baseball</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+A57</f>
        <v>Golf - Girls</v>
      </c>
      <c r="B13" s="201"/>
      <c r="C13" s="201"/>
      <c r="D13" s="190">
        <f>+P60</f>
        <v>0</v>
      </c>
      <c r="E13" s="191">
        <f>ROUND(+D13*0.08,0)</f>
        <v>0</v>
      </c>
      <c r="F13" s="192">
        <f t="shared" ref="F13:F24" si="0">SUM(D13:E13)</f>
        <v>0</v>
      </c>
      <c r="G13" s="90"/>
      <c r="H13" s="111" t="s">
        <v>148</v>
      </c>
      <c r="I13" s="89"/>
      <c r="J13" s="89"/>
      <c r="K13" s="19"/>
      <c r="L13" s="108"/>
      <c r="M13" s="108"/>
      <c r="N13" s="108"/>
      <c r="O13" s="108"/>
      <c r="P13" s="109"/>
      <c r="Q13" s="110"/>
    </row>
    <row r="14" spans="1:17" ht="15" customHeight="1" x14ac:dyDescent="0.25">
      <c r="A14" s="200" t="str">
        <f>+A61</f>
        <v>Lacrosee - Boys</v>
      </c>
      <c r="B14" s="201"/>
      <c r="C14" s="201"/>
      <c r="D14" s="193">
        <f>+P67</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t="str">
        <f>+A68</f>
        <v>Lacrosee - Girls</v>
      </c>
      <c r="B15" s="201"/>
      <c r="C15" s="201"/>
      <c r="D15" s="193">
        <f>+P74</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t="str">
        <f>+A75</f>
        <v>Soccer - Boys</v>
      </c>
      <c r="B16" s="201"/>
      <c r="C16" s="201"/>
      <c r="D16" s="194">
        <f>+P82</f>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t="str">
        <f>+A83</f>
        <v>Softball</v>
      </c>
      <c r="B17" s="201"/>
      <c r="C17" s="201"/>
      <c r="D17" s="194">
        <f>+P90</f>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t="str">
        <f>+A91</f>
        <v>Tennis - Boys</v>
      </c>
      <c r="B18" s="201"/>
      <c r="C18" s="201"/>
      <c r="D18" s="194">
        <f>+P94</f>
        <v>0</v>
      </c>
      <c r="E18" s="191">
        <f t="shared" si="1"/>
        <v>0</v>
      </c>
      <c r="F18" s="192">
        <f t="shared" si="0"/>
        <v>0</v>
      </c>
      <c r="G18" s="90"/>
      <c r="H18" s="19"/>
      <c r="I18" s="89"/>
      <c r="J18" s="89"/>
      <c r="K18" s="19"/>
      <c r="L18" s="108"/>
      <c r="M18" s="108"/>
      <c r="N18" s="108"/>
      <c r="O18" s="108"/>
      <c r="P18" s="109"/>
      <c r="Q18" s="113"/>
    </row>
    <row r="19" spans="1:17" ht="15" customHeight="1" x14ac:dyDescent="0.25">
      <c r="A19" s="200" t="str">
        <f>+A95</f>
        <v>Track - Boys</v>
      </c>
      <c r="B19" s="201"/>
      <c r="C19" s="201"/>
      <c r="D19" s="194">
        <f>+P100</f>
        <v>0</v>
      </c>
      <c r="E19" s="191">
        <f t="shared" si="1"/>
        <v>0</v>
      </c>
      <c r="F19" s="192">
        <f t="shared" si="0"/>
        <v>0</v>
      </c>
      <c r="G19" s="90"/>
      <c r="H19" s="95" t="s">
        <v>143</v>
      </c>
      <c r="I19" s="114"/>
      <c r="J19" s="114"/>
      <c r="K19" s="11"/>
      <c r="L19" s="116"/>
      <c r="M19" s="116"/>
      <c r="N19" s="116"/>
      <c r="O19" s="116"/>
      <c r="P19" s="117"/>
      <c r="Q19" s="94"/>
    </row>
    <row r="20" spans="1:17" ht="15" customHeight="1" x14ac:dyDescent="0.25">
      <c r="A20" s="200" t="str">
        <f>+A101</f>
        <v>Track - Girls</v>
      </c>
      <c r="B20" s="201"/>
      <c r="C20" s="201"/>
      <c r="D20" s="194">
        <f>+P106</f>
        <v>0</v>
      </c>
      <c r="E20" s="191">
        <f t="shared" si="1"/>
        <v>0</v>
      </c>
      <c r="F20" s="192">
        <f t="shared" si="0"/>
        <v>0</v>
      </c>
      <c r="G20" s="90"/>
      <c r="H20" s="118" t="s">
        <v>206</v>
      </c>
      <c r="I20" s="89"/>
      <c r="J20" s="89"/>
      <c r="K20" s="19"/>
      <c r="L20" s="119"/>
      <c r="M20" s="119"/>
      <c r="N20" s="119"/>
      <c r="O20" s="119"/>
      <c r="P20" s="109"/>
      <c r="Q20" s="113"/>
    </row>
    <row r="21" spans="1:17" ht="15" customHeight="1" x14ac:dyDescent="0.25">
      <c r="A21" s="200" t="str">
        <f>+A107</f>
        <v>Volleyball - Boys</v>
      </c>
      <c r="B21" s="201"/>
      <c r="C21" s="201"/>
      <c r="D21" s="194">
        <f>+P115</f>
        <v>0</v>
      </c>
      <c r="E21" s="191">
        <f t="shared" si="1"/>
        <v>0</v>
      </c>
      <c r="F21" s="192">
        <f t="shared" si="0"/>
        <v>0</v>
      </c>
      <c r="G21" s="90"/>
      <c r="H21" s="118" t="s">
        <v>204</v>
      </c>
      <c r="I21" s="89"/>
      <c r="J21" s="89"/>
      <c r="K21" s="19"/>
      <c r="L21" s="119"/>
      <c r="M21" s="119"/>
      <c r="N21" s="119"/>
      <c r="O21" s="119"/>
      <c r="P21" s="109"/>
      <c r="Q21" s="113"/>
    </row>
    <row r="22" spans="1:17" ht="15" customHeight="1" thickBot="1" x14ac:dyDescent="0.3">
      <c r="A22" s="200"/>
      <c r="B22" s="201"/>
      <c r="C22" s="201"/>
      <c r="D22" s="194">
        <v>0</v>
      </c>
      <c r="E22" s="191">
        <f t="shared" si="1"/>
        <v>0</v>
      </c>
      <c r="F22" s="192">
        <f t="shared" si="0"/>
        <v>0</v>
      </c>
      <c r="G22" s="90"/>
      <c r="H22" s="19"/>
      <c r="I22" s="89"/>
      <c r="J22" s="89"/>
      <c r="K22" s="19"/>
      <c r="L22" s="108"/>
      <c r="M22" s="108"/>
      <c r="N22" s="108"/>
      <c r="O22" s="108"/>
      <c r="P22" s="109"/>
      <c r="Q22" s="113"/>
    </row>
    <row r="23" spans="1:17" ht="15" customHeight="1" x14ac:dyDescent="0.25">
      <c r="A23" s="200"/>
      <c r="B23" s="201"/>
      <c r="C23" s="201"/>
      <c r="D23" s="194">
        <v>0</v>
      </c>
      <c r="E23" s="191">
        <f t="shared" si="1"/>
        <v>0</v>
      </c>
      <c r="F23" s="192">
        <f t="shared" si="0"/>
        <v>0</v>
      </c>
      <c r="G23" s="90"/>
      <c r="H23" s="23" t="s">
        <v>69</v>
      </c>
      <c r="I23" s="25"/>
      <c r="J23" s="28"/>
      <c r="K23" s="28"/>
      <c r="L23" s="28"/>
      <c r="M23" s="138"/>
      <c r="N23" s="138"/>
      <c r="O23" s="138"/>
      <c r="P23" s="117"/>
      <c r="Q23" s="94"/>
    </row>
    <row r="24" spans="1:17" ht="15" customHeight="1" x14ac:dyDescent="0.25">
      <c r="A24" s="200"/>
      <c r="B24" s="201"/>
      <c r="C24" s="201"/>
      <c r="D24" s="194">
        <v>0</v>
      </c>
      <c r="E24" s="191">
        <f t="shared" si="1"/>
        <v>0</v>
      </c>
      <c r="F24" s="192">
        <f t="shared" si="0"/>
        <v>0</v>
      </c>
      <c r="G24" s="90"/>
      <c r="H24" s="77"/>
      <c r="I24" s="27" t="s">
        <v>104</v>
      </c>
      <c r="J24" s="24"/>
      <c r="K24" s="24"/>
      <c r="L24" s="24"/>
      <c r="M24" s="19"/>
      <c r="N24" s="19"/>
      <c r="O24" s="19"/>
      <c r="P24" s="19"/>
      <c r="Q24" s="29"/>
    </row>
    <row r="25" spans="1:17" ht="15" customHeight="1" thickBot="1" x14ac:dyDescent="0.3">
      <c r="A25" s="200"/>
      <c r="B25" s="201"/>
      <c r="C25" s="201"/>
      <c r="D25" s="279">
        <v>0</v>
      </c>
      <c r="E25" s="280">
        <f t="shared" si="1"/>
        <v>0</v>
      </c>
      <c r="F25" s="281">
        <v>0</v>
      </c>
      <c r="G25" s="90"/>
      <c r="H25" s="26" t="s">
        <v>70</v>
      </c>
      <c r="I25" s="27" t="s">
        <v>105</v>
      </c>
      <c r="J25" s="19"/>
      <c r="K25" s="19"/>
      <c r="L25" s="19"/>
      <c r="M25" s="19"/>
      <c r="N25" s="19"/>
      <c r="O25" s="19"/>
      <c r="P25" s="19"/>
      <c r="Q25" s="29"/>
    </row>
    <row r="26" spans="1:17" ht="19.95" customHeight="1" thickBot="1" x14ac:dyDescent="0.35">
      <c r="A26" s="202"/>
      <c r="B26" s="203"/>
      <c r="C26" s="204" t="s">
        <v>216</v>
      </c>
      <c r="D26" s="276">
        <f>SUM(D12:D25)</f>
        <v>0</v>
      </c>
      <c r="E26" s="277">
        <f>SUM(E12:E25)</f>
        <v>0</v>
      </c>
      <c r="F26" s="278">
        <f>SUM(F12:F25)</f>
        <v>0</v>
      </c>
      <c r="G26" s="90"/>
      <c r="H26" s="163" t="s">
        <v>71</v>
      </c>
      <c r="I26" s="164" t="s">
        <v>106</v>
      </c>
      <c r="J26" s="165"/>
      <c r="K26" s="19"/>
      <c r="L26" s="19"/>
      <c r="M26" s="19"/>
      <c r="N26" s="19"/>
      <c r="O26" s="19"/>
      <c r="P26" s="19"/>
      <c r="Q26" s="29"/>
    </row>
    <row r="27" spans="1:17" ht="13.8" customHeight="1" thickBot="1" x14ac:dyDescent="0.3">
      <c r="A27" s="120"/>
      <c r="B27" s="121"/>
      <c r="C27" s="121"/>
      <c r="D27" s="121"/>
      <c r="E27" s="121"/>
      <c r="F27" s="121"/>
      <c r="G27" s="35"/>
      <c r="H27" s="122"/>
      <c r="I27" s="123"/>
      <c r="J27" s="34"/>
      <c r="K27" s="34"/>
      <c r="L27" s="34"/>
      <c r="M27" s="34"/>
      <c r="N27" s="34"/>
      <c r="O27" s="34"/>
      <c r="P27" s="34"/>
      <c r="Q27" s="35"/>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452" t="s">
        <v>12</v>
      </c>
      <c r="B49" s="453"/>
      <c r="C49" s="475">
        <f>+'HS - Positions and Funding'!B14</f>
        <v>12894</v>
      </c>
      <c r="D49" s="446" t="s">
        <v>57</v>
      </c>
      <c r="E49" s="446"/>
      <c r="F49" s="168" t="s">
        <v>22</v>
      </c>
      <c r="G49" s="533"/>
      <c r="H49" s="534"/>
      <c r="I49" s="535"/>
      <c r="J49" s="169"/>
      <c r="K49" s="170"/>
      <c r="L49" s="170"/>
      <c r="M49" s="169"/>
      <c r="N49" s="171">
        <f>IF(M49&gt;0,HLOOKUP(F49,Tables!$D$3:$M$22,M49+1,0),0)</f>
        <v>0</v>
      </c>
      <c r="O49" s="172">
        <v>0</v>
      </c>
      <c r="P49" s="172">
        <v>0</v>
      </c>
      <c r="Q49" s="173">
        <f>SUM(O49:P49)</f>
        <v>0</v>
      </c>
    </row>
    <row r="50" spans="1:17" ht="19.95" customHeight="1" x14ac:dyDescent="0.25">
      <c r="A50" s="454"/>
      <c r="B50" s="455"/>
      <c r="C50" s="476"/>
      <c r="D50" s="445" t="s">
        <v>56</v>
      </c>
      <c r="E50" s="445"/>
      <c r="F50" s="174" t="s">
        <v>23</v>
      </c>
      <c r="G50" s="450"/>
      <c r="H50" s="450"/>
      <c r="I50" s="450"/>
      <c r="J50" s="175"/>
      <c r="K50" s="175"/>
      <c r="L50" s="175"/>
      <c r="M50" s="175"/>
      <c r="N50" s="176">
        <f>IF(M50&gt;0,HLOOKUP(F50,Tables!$D$3:$M$22,M50+1,0),0)</f>
        <v>0</v>
      </c>
      <c r="O50" s="177">
        <v>0</v>
      </c>
      <c r="P50" s="177">
        <v>0</v>
      </c>
      <c r="Q50" s="178">
        <f t="shared" ref="Q50:Q56" si="2">SUM(O50:P50)</f>
        <v>0</v>
      </c>
    </row>
    <row r="51" spans="1:17" ht="19.95" customHeight="1" x14ac:dyDescent="0.25">
      <c r="A51" s="454"/>
      <c r="B51" s="455"/>
      <c r="C51" s="476"/>
      <c r="D51" s="445" t="s">
        <v>56</v>
      </c>
      <c r="E51" s="445"/>
      <c r="F51" s="174" t="s">
        <v>23</v>
      </c>
      <c r="G51" s="450"/>
      <c r="H51" s="450"/>
      <c r="I51" s="450"/>
      <c r="J51" s="175"/>
      <c r="K51" s="175"/>
      <c r="L51" s="175"/>
      <c r="M51" s="175"/>
      <c r="N51" s="176">
        <f>IF(M51&gt;0,HLOOKUP(F51,Tables!$D$3:$M$22,M51+1,0),0)</f>
        <v>0</v>
      </c>
      <c r="O51" s="177">
        <v>0</v>
      </c>
      <c r="P51" s="177">
        <v>0</v>
      </c>
      <c r="Q51" s="178">
        <f t="shared" si="2"/>
        <v>0</v>
      </c>
    </row>
    <row r="52" spans="1:17" ht="19.95" customHeight="1" x14ac:dyDescent="0.25">
      <c r="A52" s="454"/>
      <c r="B52" s="455"/>
      <c r="C52" s="476"/>
      <c r="D52" s="445" t="s">
        <v>56</v>
      </c>
      <c r="E52" s="445"/>
      <c r="F52" s="174" t="s">
        <v>23</v>
      </c>
      <c r="G52" s="450"/>
      <c r="H52" s="450"/>
      <c r="I52" s="450"/>
      <c r="J52" s="175"/>
      <c r="K52" s="175"/>
      <c r="L52" s="175"/>
      <c r="M52" s="175"/>
      <c r="N52" s="176">
        <f>IF(M52&gt;0,HLOOKUP(F52,Tables!$D$3:$M$22,M52+1,0),0)</f>
        <v>0</v>
      </c>
      <c r="O52" s="177">
        <v>0</v>
      </c>
      <c r="P52" s="177">
        <v>0</v>
      </c>
      <c r="Q52" s="178">
        <f t="shared" si="2"/>
        <v>0</v>
      </c>
    </row>
    <row r="53" spans="1:17" ht="19.95" customHeight="1" x14ac:dyDescent="0.25">
      <c r="A53" s="454"/>
      <c r="B53" s="455"/>
      <c r="C53" s="476"/>
      <c r="D53" s="445" t="s">
        <v>56</v>
      </c>
      <c r="E53" s="445"/>
      <c r="F53" s="174" t="s">
        <v>23</v>
      </c>
      <c r="G53" s="450"/>
      <c r="H53" s="450"/>
      <c r="I53" s="450"/>
      <c r="J53" s="175"/>
      <c r="K53" s="175"/>
      <c r="L53" s="175"/>
      <c r="M53" s="175"/>
      <c r="N53" s="176">
        <f>IF(M53&gt;0,HLOOKUP(F53,Tables!$D$3:$M$22,M53+1,0),0)</f>
        <v>0</v>
      </c>
      <c r="O53" s="177">
        <v>0</v>
      </c>
      <c r="P53" s="177">
        <v>0</v>
      </c>
      <c r="Q53" s="178">
        <f t="shared" si="2"/>
        <v>0</v>
      </c>
    </row>
    <row r="54" spans="1:17" ht="19.95" customHeight="1" x14ac:dyDescent="0.25">
      <c r="A54" s="454"/>
      <c r="B54" s="455"/>
      <c r="C54" s="476"/>
      <c r="D54" s="445" t="s">
        <v>56</v>
      </c>
      <c r="E54" s="445"/>
      <c r="F54" s="174" t="s">
        <v>23</v>
      </c>
      <c r="G54" s="450"/>
      <c r="H54" s="450"/>
      <c r="I54" s="450"/>
      <c r="J54" s="175"/>
      <c r="K54" s="175"/>
      <c r="L54" s="175"/>
      <c r="M54" s="175"/>
      <c r="N54" s="176">
        <f>IF(M54&gt;0,HLOOKUP(F54,Tables!$D$3:$M$22,M54+1,0),0)</f>
        <v>0</v>
      </c>
      <c r="O54" s="177">
        <v>0</v>
      </c>
      <c r="P54" s="177">
        <v>0</v>
      </c>
      <c r="Q54" s="178">
        <f t="shared" si="2"/>
        <v>0</v>
      </c>
    </row>
    <row r="55" spans="1:17" ht="19.95" customHeight="1" x14ac:dyDescent="0.25">
      <c r="A55" s="454"/>
      <c r="B55" s="455"/>
      <c r="C55" s="476"/>
      <c r="D55" s="445" t="s">
        <v>56</v>
      </c>
      <c r="E55" s="445"/>
      <c r="F55" s="174" t="s">
        <v>23</v>
      </c>
      <c r="G55" s="450"/>
      <c r="H55" s="450"/>
      <c r="I55" s="450"/>
      <c r="J55" s="175"/>
      <c r="K55" s="179"/>
      <c r="L55" s="179"/>
      <c r="M55" s="175"/>
      <c r="N55" s="176">
        <f>IF(M55&gt;0,HLOOKUP(F55,Tables!$D$3:$M$22,M55+1,0),0)</f>
        <v>0</v>
      </c>
      <c r="O55" s="177">
        <v>0</v>
      </c>
      <c r="P55" s="177">
        <v>0</v>
      </c>
      <c r="Q55" s="178">
        <f t="shared" si="2"/>
        <v>0</v>
      </c>
    </row>
    <row r="56" spans="1:17" s="142" customFormat="1" ht="19.95" customHeight="1" thickBot="1" x14ac:dyDescent="0.35">
      <c r="A56" s="456"/>
      <c r="B56" s="457"/>
      <c r="C56" s="477"/>
      <c r="D56" s="447" t="str">
        <f>CONCATENATE(A49," Totals")</f>
        <v>Baseball Totals</v>
      </c>
      <c r="E56" s="448"/>
      <c r="F56" s="448"/>
      <c r="G56" s="448"/>
      <c r="H56" s="448"/>
      <c r="I56" s="448"/>
      <c r="J56" s="448"/>
      <c r="K56" s="448"/>
      <c r="L56" s="448"/>
      <c r="M56" s="449"/>
      <c r="N56" s="180">
        <f>SUM(N49:N55)</f>
        <v>0</v>
      </c>
      <c r="O56" s="180">
        <f t="shared" ref="O56:P56" si="3">SUM(O49:O55)</f>
        <v>0</v>
      </c>
      <c r="P56" s="180">
        <f t="shared" si="3"/>
        <v>0</v>
      </c>
      <c r="Q56" s="181">
        <f t="shared" si="2"/>
        <v>0</v>
      </c>
    </row>
    <row r="57" spans="1:17" ht="19.95" customHeight="1" x14ac:dyDescent="0.25">
      <c r="A57" s="452" t="s">
        <v>94</v>
      </c>
      <c r="B57" s="453"/>
      <c r="C57" s="475">
        <f>+'HS - Positions and Funding'!B44</f>
        <v>3675</v>
      </c>
      <c r="D57" s="446" t="s">
        <v>57</v>
      </c>
      <c r="E57" s="446"/>
      <c r="F57" s="168" t="s">
        <v>10</v>
      </c>
      <c r="G57" s="451"/>
      <c r="H57" s="451"/>
      <c r="I57" s="451"/>
      <c r="J57" s="169"/>
      <c r="K57" s="170"/>
      <c r="L57" s="170"/>
      <c r="M57" s="169"/>
      <c r="N57" s="171">
        <f>IF(M57&gt;0,HLOOKUP(F57,Tables!$D$3:$M$22,M57+1,0),0)</f>
        <v>0</v>
      </c>
      <c r="O57" s="172">
        <v>0</v>
      </c>
      <c r="P57" s="172">
        <v>0</v>
      </c>
      <c r="Q57" s="173">
        <f>SUM(O57:P57)</f>
        <v>0</v>
      </c>
    </row>
    <row r="58" spans="1:17" ht="19.95" customHeight="1" x14ac:dyDescent="0.25">
      <c r="A58" s="494"/>
      <c r="B58" s="495"/>
      <c r="C58" s="496"/>
      <c r="D58" s="445" t="s">
        <v>56</v>
      </c>
      <c r="E58" s="445"/>
      <c r="F58" s="174" t="s">
        <v>78</v>
      </c>
      <c r="G58" s="450"/>
      <c r="H58" s="450"/>
      <c r="I58" s="450"/>
      <c r="J58" s="175"/>
      <c r="K58" s="175"/>
      <c r="L58" s="175"/>
      <c r="M58" s="175"/>
      <c r="N58" s="176">
        <f>IF(M58&gt;0,HLOOKUP(F58,Tables!$D$3:$M$22,M58+1,0),0)</f>
        <v>0</v>
      </c>
      <c r="O58" s="177">
        <v>0</v>
      </c>
      <c r="P58" s="177">
        <v>0</v>
      </c>
      <c r="Q58" s="178">
        <f t="shared" ref="Q58:Q60" si="4">SUM(O58:P58)</f>
        <v>0</v>
      </c>
    </row>
    <row r="59" spans="1:17" ht="19.95" customHeight="1" x14ac:dyDescent="0.25">
      <c r="A59" s="454"/>
      <c r="B59" s="455"/>
      <c r="C59" s="476"/>
      <c r="D59" s="445" t="s">
        <v>56</v>
      </c>
      <c r="E59" s="445"/>
      <c r="F59" s="174" t="s">
        <v>78</v>
      </c>
      <c r="G59" s="450"/>
      <c r="H59" s="450"/>
      <c r="I59" s="450"/>
      <c r="J59" s="175"/>
      <c r="K59" s="179"/>
      <c r="L59" s="179"/>
      <c r="M59" s="175"/>
      <c r="N59" s="176">
        <f>IF(M59&gt;0,HLOOKUP(F59,Tables!$D$3:$M$22,M59+1,0),0)</f>
        <v>0</v>
      </c>
      <c r="O59" s="177">
        <v>0</v>
      </c>
      <c r="P59" s="177">
        <v>0</v>
      </c>
      <c r="Q59" s="178">
        <f t="shared" si="4"/>
        <v>0</v>
      </c>
    </row>
    <row r="60" spans="1:17" s="143" customFormat="1" ht="19.95" customHeight="1" thickBot="1" x14ac:dyDescent="0.35">
      <c r="A60" s="456"/>
      <c r="B60" s="457"/>
      <c r="C60" s="477"/>
      <c r="D60" s="447" t="str">
        <f>CONCATENATE(A57," Totals")</f>
        <v>Golf - Girls Totals</v>
      </c>
      <c r="E60" s="448"/>
      <c r="F60" s="448"/>
      <c r="G60" s="448"/>
      <c r="H60" s="448"/>
      <c r="I60" s="448"/>
      <c r="J60" s="448"/>
      <c r="K60" s="448"/>
      <c r="L60" s="448"/>
      <c r="M60" s="449"/>
      <c r="N60" s="180">
        <f>SUM(N57:N59)</f>
        <v>0</v>
      </c>
      <c r="O60" s="180">
        <f>SUM(O57:O59)</f>
        <v>0</v>
      </c>
      <c r="P60" s="180">
        <f>SUM(P57:P59)</f>
        <v>0</v>
      </c>
      <c r="Q60" s="181">
        <f t="shared" si="4"/>
        <v>0</v>
      </c>
    </row>
    <row r="61" spans="1:17" s="143" customFormat="1" ht="19.95" customHeight="1" x14ac:dyDescent="0.25">
      <c r="A61" s="452" t="s">
        <v>230</v>
      </c>
      <c r="B61" s="453"/>
      <c r="C61" s="475">
        <f>+'HS - Positions and Funding'!B46</f>
        <v>7288</v>
      </c>
      <c r="D61" s="446" t="s">
        <v>57</v>
      </c>
      <c r="E61" s="446"/>
      <c r="F61" s="168" t="s">
        <v>22</v>
      </c>
      <c r="G61" s="451"/>
      <c r="H61" s="451"/>
      <c r="I61" s="451"/>
      <c r="J61" s="169"/>
      <c r="K61" s="170"/>
      <c r="L61" s="170"/>
      <c r="M61" s="169"/>
      <c r="N61" s="171">
        <f>IF(M61&gt;0,HLOOKUP(F61,Tables!$D$3:$M$22,M61+1,0),0)</f>
        <v>0</v>
      </c>
      <c r="O61" s="172">
        <v>0</v>
      </c>
      <c r="P61" s="172">
        <v>0</v>
      </c>
      <c r="Q61" s="173">
        <f>SUM(O61:P61)</f>
        <v>0</v>
      </c>
    </row>
    <row r="62" spans="1:17" s="143" customFormat="1" ht="19.95" customHeight="1" x14ac:dyDescent="0.25">
      <c r="A62" s="494"/>
      <c r="B62" s="495"/>
      <c r="C62" s="496"/>
      <c r="D62" s="445" t="s">
        <v>56</v>
      </c>
      <c r="E62" s="445"/>
      <c r="F62" s="174" t="s">
        <v>23</v>
      </c>
      <c r="G62" s="450"/>
      <c r="H62" s="450"/>
      <c r="I62" s="450"/>
      <c r="J62" s="175"/>
      <c r="K62" s="175"/>
      <c r="L62" s="175"/>
      <c r="M62" s="175"/>
      <c r="N62" s="176">
        <f>IF(M62&gt;0,HLOOKUP(F62,Tables!$D$3:$M$22,M62+1,0),0)</f>
        <v>0</v>
      </c>
      <c r="O62" s="177">
        <v>0</v>
      </c>
      <c r="P62" s="177">
        <v>0</v>
      </c>
      <c r="Q62" s="178">
        <f t="shared" ref="Q62" si="5">SUM(O62:P62)</f>
        <v>0</v>
      </c>
    </row>
    <row r="63" spans="1:17" s="143" customFormat="1" ht="19.95" customHeight="1" x14ac:dyDescent="0.25">
      <c r="A63" s="494"/>
      <c r="B63" s="495"/>
      <c r="C63" s="496"/>
      <c r="D63" s="445" t="s">
        <v>56</v>
      </c>
      <c r="E63" s="445"/>
      <c r="F63" s="174" t="s">
        <v>23</v>
      </c>
      <c r="G63" s="450"/>
      <c r="H63" s="450"/>
      <c r="I63" s="450"/>
      <c r="J63" s="175"/>
      <c r="K63" s="175"/>
      <c r="L63" s="175"/>
      <c r="M63" s="175"/>
      <c r="N63" s="176">
        <f>IF(M63&gt;0,HLOOKUP(F63,Tables!$D$3:$M$22,M63+1,0),0)</f>
        <v>0</v>
      </c>
      <c r="O63" s="177">
        <v>0</v>
      </c>
      <c r="P63" s="177">
        <v>0</v>
      </c>
      <c r="Q63" s="178">
        <f t="shared" ref="Q63" si="6">SUM(O63:P63)</f>
        <v>0</v>
      </c>
    </row>
    <row r="64" spans="1:17" s="143" customFormat="1" ht="19.95" customHeight="1" x14ac:dyDescent="0.25">
      <c r="A64" s="494"/>
      <c r="B64" s="495"/>
      <c r="C64" s="496"/>
      <c r="D64" s="445" t="s">
        <v>56</v>
      </c>
      <c r="E64" s="445"/>
      <c r="F64" s="174" t="s">
        <v>23</v>
      </c>
      <c r="G64" s="450"/>
      <c r="H64" s="450"/>
      <c r="I64" s="450"/>
      <c r="J64" s="175"/>
      <c r="K64" s="175"/>
      <c r="L64" s="175"/>
      <c r="M64" s="175"/>
      <c r="N64" s="176">
        <f>IF(M64&gt;0,HLOOKUP(F64,Tables!$D$3:$M$22,M64+1,0),0)</f>
        <v>0</v>
      </c>
      <c r="O64" s="177">
        <v>0</v>
      </c>
      <c r="P64" s="177">
        <v>0</v>
      </c>
      <c r="Q64" s="178">
        <f t="shared" ref="Q64" si="7">SUM(O64:P64)</f>
        <v>0</v>
      </c>
    </row>
    <row r="65" spans="1:17" s="143" customFormat="1" ht="19.95" customHeight="1" x14ac:dyDescent="0.25">
      <c r="A65" s="494"/>
      <c r="B65" s="495"/>
      <c r="C65" s="496"/>
      <c r="D65" s="445" t="s">
        <v>56</v>
      </c>
      <c r="E65" s="445"/>
      <c r="F65" s="174" t="s">
        <v>23</v>
      </c>
      <c r="G65" s="450"/>
      <c r="H65" s="450"/>
      <c r="I65" s="450"/>
      <c r="J65" s="175"/>
      <c r="K65" s="175"/>
      <c r="L65" s="175"/>
      <c r="M65" s="175"/>
      <c r="N65" s="176">
        <f>IF(M65&gt;0,HLOOKUP(F65,Tables!$D$3:$M$22,M65+1,0),0)</f>
        <v>0</v>
      </c>
      <c r="O65" s="177">
        <v>0</v>
      </c>
      <c r="P65" s="177">
        <v>0</v>
      </c>
      <c r="Q65" s="178">
        <f t="shared" ref="Q65" si="8">SUM(O65:P65)</f>
        <v>0</v>
      </c>
    </row>
    <row r="66" spans="1:17" s="143" customFormat="1" ht="19.95" customHeight="1" x14ac:dyDescent="0.25">
      <c r="A66" s="494"/>
      <c r="B66" s="495"/>
      <c r="C66" s="496"/>
      <c r="D66" s="445" t="s">
        <v>56</v>
      </c>
      <c r="E66" s="445"/>
      <c r="F66" s="174" t="s">
        <v>23</v>
      </c>
      <c r="G66" s="450"/>
      <c r="H66" s="450"/>
      <c r="I66" s="450"/>
      <c r="J66" s="175"/>
      <c r="K66" s="175"/>
      <c r="L66" s="175"/>
      <c r="M66" s="175"/>
      <c r="N66" s="176">
        <f>IF(M66&gt;0,HLOOKUP(F66,Tables!$D$3:$M$22,M66+1,0),0)</f>
        <v>0</v>
      </c>
      <c r="O66" s="177">
        <v>0</v>
      </c>
      <c r="P66" s="177">
        <v>0</v>
      </c>
      <c r="Q66" s="178">
        <f t="shared" ref="Q66" si="9">SUM(O66:P66)</f>
        <v>0</v>
      </c>
    </row>
    <row r="67" spans="1:17" s="143" customFormat="1" ht="19.95" customHeight="1" thickBot="1" x14ac:dyDescent="0.35">
      <c r="A67" s="456"/>
      <c r="B67" s="457"/>
      <c r="C67" s="477"/>
      <c r="D67" s="447" t="str">
        <f>CONCATENATE(A61," Totals")</f>
        <v>Lacrosee - Boys Totals</v>
      </c>
      <c r="E67" s="448"/>
      <c r="F67" s="448"/>
      <c r="G67" s="448"/>
      <c r="H67" s="448"/>
      <c r="I67" s="448"/>
      <c r="J67" s="448"/>
      <c r="K67" s="448"/>
      <c r="L67" s="448"/>
      <c r="M67" s="449"/>
      <c r="N67" s="180">
        <f>SUM(N61:N66)</f>
        <v>0</v>
      </c>
      <c r="O67" s="180">
        <f>SUM(O61:O66)</f>
        <v>0</v>
      </c>
      <c r="P67" s="180">
        <f>SUM(P61:P66)</f>
        <v>0</v>
      </c>
      <c r="Q67" s="181">
        <f t="shared" ref="Q67" si="10">SUM(O67:P67)</f>
        <v>0</v>
      </c>
    </row>
    <row r="68" spans="1:17" s="143" customFormat="1" ht="19.95" customHeight="1" x14ac:dyDescent="0.25">
      <c r="A68" s="452" t="s">
        <v>231</v>
      </c>
      <c r="B68" s="453"/>
      <c r="C68" s="475">
        <f>+'HS - Positions and Funding'!B48</f>
        <v>7288</v>
      </c>
      <c r="D68" s="446" t="s">
        <v>57</v>
      </c>
      <c r="E68" s="446"/>
      <c r="F68" s="168" t="s">
        <v>22</v>
      </c>
      <c r="G68" s="451"/>
      <c r="H68" s="451"/>
      <c r="I68" s="451"/>
      <c r="J68" s="169"/>
      <c r="K68" s="170"/>
      <c r="L68" s="170"/>
      <c r="M68" s="169"/>
      <c r="N68" s="171">
        <f>IF(M68&gt;0,HLOOKUP(F68,Tables!$D$3:$M$22,M68+1,0),0)</f>
        <v>0</v>
      </c>
      <c r="O68" s="172">
        <v>0</v>
      </c>
      <c r="P68" s="172">
        <v>0</v>
      </c>
      <c r="Q68" s="173">
        <f>SUM(O68:P68)</f>
        <v>0</v>
      </c>
    </row>
    <row r="69" spans="1:17" s="143" customFormat="1" ht="19.95" customHeight="1" x14ac:dyDescent="0.25">
      <c r="A69" s="494"/>
      <c r="B69" s="495"/>
      <c r="C69" s="496"/>
      <c r="D69" s="445" t="s">
        <v>56</v>
      </c>
      <c r="E69" s="445"/>
      <c r="F69" s="174" t="s">
        <v>23</v>
      </c>
      <c r="G69" s="450"/>
      <c r="H69" s="450"/>
      <c r="I69" s="450"/>
      <c r="J69" s="175"/>
      <c r="K69" s="175"/>
      <c r="L69" s="175"/>
      <c r="M69" s="175"/>
      <c r="N69" s="176">
        <f>IF(M69&gt;0,HLOOKUP(F69,Tables!$D$3:$M$22,M69+1,0),0)</f>
        <v>0</v>
      </c>
      <c r="O69" s="177">
        <v>0</v>
      </c>
      <c r="P69" s="177">
        <v>0</v>
      </c>
      <c r="Q69" s="178">
        <f t="shared" ref="Q69" si="11">SUM(O69:P69)</f>
        <v>0</v>
      </c>
    </row>
    <row r="70" spans="1:17" s="143" customFormat="1" ht="19.95" customHeight="1" x14ac:dyDescent="0.25">
      <c r="A70" s="494"/>
      <c r="B70" s="495"/>
      <c r="C70" s="496"/>
      <c r="D70" s="445" t="s">
        <v>56</v>
      </c>
      <c r="E70" s="445"/>
      <c r="F70" s="174" t="s">
        <v>23</v>
      </c>
      <c r="G70" s="450"/>
      <c r="H70" s="450"/>
      <c r="I70" s="450"/>
      <c r="J70" s="175"/>
      <c r="K70" s="175"/>
      <c r="L70" s="175"/>
      <c r="M70" s="175"/>
      <c r="N70" s="176">
        <f>IF(M70&gt;0,HLOOKUP(F70,Tables!$D$3:$M$22,M70+1,0),0)</f>
        <v>0</v>
      </c>
      <c r="O70" s="177">
        <v>0</v>
      </c>
      <c r="P70" s="177">
        <v>0</v>
      </c>
      <c r="Q70" s="178">
        <f t="shared" ref="Q70" si="12">SUM(O70:P70)</f>
        <v>0</v>
      </c>
    </row>
    <row r="71" spans="1:17" s="143" customFormat="1" ht="19.95" customHeight="1" x14ac:dyDescent="0.25">
      <c r="A71" s="494"/>
      <c r="B71" s="495"/>
      <c r="C71" s="496"/>
      <c r="D71" s="445" t="s">
        <v>56</v>
      </c>
      <c r="E71" s="445"/>
      <c r="F71" s="174" t="s">
        <v>23</v>
      </c>
      <c r="G71" s="450"/>
      <c r="H71" s="450"/>
      <c r="I71" s="450"/>
      <c r="J71" s="175"/>
      <c r="K71" s="175"/>
      <c r="L71" s="175"/>
      <c r="M71" s="175"/>
      <c r="N71" s="176">
        <f>IF(M71&gt;0,HLOOKUP(F71,Tables!$D$3:$M$22,M71+1,0),0)</f>
        <v>0</v>
      </c>
      <c r="O71" s="177">
        <v>0</v>
      </c>
      <c r="P71" s="177">
        <v>0</v>
      </c>
      <c r="Q71" s="178">
        <f t="shared" ref="Q71" si="13">SUM(O71:P71)</f>
        <v>0</v>
      </c>
    </row>
    <row r="72" spans="1:17" s="143" customFormat="1" ht="19.95" customHeight="1" x14ac:dyDescent="0.25">
      <c r="A72" s="494"/>
      <c r="B72" s="495"/>
      <c r="C72" s="496"/>
      <c r="D72" s="445" t="s">
        <v>56</v>
      </c>
      <c r="E72" s="445"/>
      <c r="F72" s="174" t="s">
        <v>23</v>
      </c>
      <c r="G72" s="450"/>
      <c r="H72" s="450"/>
      <c r="I72" s="450"/>
      <c r="J72" s="175"/>
      <c r="K72" s="175"/>
      <c r="L72" s="175"/>
      <c r="M72" s="175"/>
      <c r="N72" s="176">
        <f>IF(M72&gt;0,HLOOKUP(F72,Tables!$D$3:$M$22,M72+1,0),0)</f>
        <v>0</v>
      </c>
      <c r="O72" s="177">
        <v>0</v>
      </c>
      <c r="P72" s="177">
        <v>0</v>
      </c>
      <c r="Q72" s="178">
        <f t="shared" ref="Q72" si="14">SUM(O72:P72)</f>
        <v>0</v>
      </c>
    </row>
    <row r="73" spans="1:17" s="143" customFormat="1" ht="19.95" customHeight="1" x14ac:dyDescent="0.25">
      <c r="A73" s="494"/>
      <c r="B73" s="495"/>
      <c r="C73" s="496"/>
      <c r="D73" s="445" t="s">
        <v>56</v>
      </c>
      <c r="E73" s="445"/>
      <c r="F73" s="174" t="s">
        <v>23</v>
      </c>
      <c r="G73" s="450"/>
      <c r="H73" s="450"/>
      <c r="I73" s="450"/>
      <c r="J73" s="175"/>
      <c r="K73" s="175"/>
      <c r="L73" s="175"/>
      <c r="M73" s="175"/>
      <c r="N73" s="176">
        <f>IF(M73&gt;0,HLOOKUP(F73,Tables!$D$3:$M$22,M73+1,0),0)</f>
        <v>0</v>
      </c>
      <c r="O73" s="177">
        <v>0</v>
      </c>
      <c r="P73" s="177">
        <v>0</v>
      </c>
      <c r="Q73" s="178">
        <f t="shared" ref="Q73" si="15">SUM(O73:P73)</f>
        <v>0</v>
      </c>
    </row>
    <row r="74" spans="1:17" s="143" customFormat="1" ht="19.95" customHeight="1" thickBot="1" x14ac:dyDescent="0.35">
      <c r="A74" s="456"/>
      <c r="B74" s="457"/>
      <c r="C74" s="477"/>
      <c r="D74" s="447" t="str">
        <f>CONCATENATE(A68," Totals")</f>
        <v>Lacrosee - Girls Totals</v>
      </c>
      <c r="E74" s="448"/>
      <c r="F74" s="448"/>
      <c r="G74" s="448"/>
      <c r="H74" s="448"/>
      <c r="I74" s="448"/>
      <c r="J74" s="448"/>
      <c r="K74" s="448"/>
      <c r="L74" s="448"/>
      <c r="M74" s="449"/>
      <c r="N74" s="180">
        <f>SUM(N68:N73)</f>
        <v>0</v>
      </c>
      <c r="O74" s="180">
        <f>SUM(O68:O73)</f>
        <v>0</v>
      </c>
      <c r="P74" s="180">
        <f>SUM(P68:P73)</f>
        <v>0</v>
      </c>
      <c r="Q74" s="181">
        <f t="shared" ref="Q74" si="16">SUM(O74:P74)</f>
        <v>0</v>
      </c>
    </row>
    <row r="75" spans="1:17" ht="19.95" customHeight="1" x14ac:dyDescent="0.25">
      <c r="A75" s="452" t="s">
        <v>18</v>
      </c>
      <c r="B75" s="453"/>
      <c r="C75" s="475">
        <f>+'HS - Positions and Funding'!B56</f>
        <v>11492</v>
      </c>
      <c r="D75" s="446" t="s">
        <v>57</v>
      </c>
      <c r="E75" s="446"/>
      <c r="F75" s="168" t="s">
        <v>22</v>
      </c>
      <c r="G75" s="451"/>
      <c r="H75" s="451"/>
      <c r="I75" s="451"/>
      <c r="J75" s="169"/>
      <c r="K75" s="170"/>
      <c r="L75" s="170"/>
      <c r="M75" s="169"/>
      <c r="N75" s="171">
        <f>IF(M75&gt;0,HLOOKUP(F75,Tables!$D$3:$M$22,M75+1,0),0)</f>
        <v>0</v>
      </c>
      <c r="O75" s="172">
        <v>0</v>
      </c>
      <c r="P75" s="172">
        <v>0</v>
      </c>
      <c r="Q75" s="173">
        <f>SUM(O75:P75)</f>
        <v>0</v>
      </c>
    </row>
    <row r="76" spans="1:17" ht="19.95" customHeight="1" x14ac:dyDescent="0.25">
      <c r="A76" s="494"/>
      <c r="B76" s="495"/>
      <c r="C76" s="496"/>
      <c r="D76" s="445" t="s">
        <v>56</v>
      </c>
      <c r="E76" s="445"/>
      <c r="F76" s="174" t="s">
        <v>23</v>
      </c>
      <c r="G76" s="450"/>
      <c r="H76" s="450"/>
      <c r="I76" s="450"/>
      <c r="J76" s="175"/>
      <c r="K76" s="175"/>
      <c r="L76" s="175"/>
      <c r="M76" s="175"/>
      <c r="N76" s="176">
        <f>IF(M76&gt;0,HLOOKUP(F76,Tables!$D$3:$M$22,M76+1,0),0)</f>
        <v>0</v>
      </c>
      <c r="O76" s="177">
        <v>0</v>
      </c>
      <c r="P76" s="177">
        <v>0</v>
      </c>
      <c r="Q76" s="178">
        <f t="shared" ref="Q76:Q82" si="17">SUM(O76:P76)</f>
        <v>0</v>
      </c>
    </row>
    <row r="77" spans="1:17" ht="19.95" customHeight="1" x14ac:dyDescent="0.25">
      <c r="A77" s="494"/>
      <c r="B77" s="495"/>
      <c r="C77" s="496"/>
      <c r="D77" s="445" t="s">
        <v>56</v>
      </c>
      <c r="E77" s="445"/>
      <c r="F77" s="174" t="s">
        <v>23</v>
      </c>
      <c r="G77" s="450"/>
      <c r="H77" s="450"/>
      <c r="I77" s="450"/>
      <c r="J77" s="175"/>
      <c r="K77" s="175"/>
      <c r="L77" s="175"/>
      <c r="M77" s="175"/>
      <c r="N77" s="176">
        <f>IF(M77&gt;0,HLOOKUP(F77,Tables!$D$3:$M$22,M77+1,0),0)</f>
        <v>0</v>
      </c>
      <c r="O77" s="177">
        <v>0</v>
      </c>
      <c r="P77" s="177">
        <v>0</v>
      </c>
      <c r="Q77" s="178">
        <f t="shared" ref="Q77:Q79" si="18">SUM(O77:P77)</f>
        <v>0</v>
      </c>
    </row>
    <row r="78" spans="1:17" ht="19.95" customHeight="1" x14ac:dyDescent="0.25">
      <c r="A78" s="494"/>
      <c r="B78" s="495"/>
      <c r="C78" s="496"/>
      <c r="D78" s="445" t="s">
        <v>56</v>
      </c>
      <c r="E78" s="445"/>
      <c r="F78" s="174" t="s">
        <v>23</v>
      </c>
      <c r="G78" s="450"/>
      <c r="H78" s="450"/>
      <c r="I78" s="450"/>
      <c r="J78" s="175"/>
      <c r="K78" s="175"/>
      <c r="L78" s="175"/>
      <c r="M78" s="175"/>
      <c r="N78" s="176">
        <f>IF(M78&gt;0,HLOOKUP(F78,Tables!$D$3:$M$22,M78+1,0),0)</f>
        <v>0</v>
      </c>
      <c r="O78" s="177">
        <v>0</v>
      </c>
      <c r="P78" s="177">
        <v>0</v>
      </c>
      <c r="Q78" s="178">
        <f t="shared" ref="Q78" si="19">SUM(O78:P78)</f>
        <v>0</v>
      </c>
    </row>
    <row r="79" spans="1:17" ht="19.95" customHeight="1" x14ac:dyDescent="0.25">
      <c r="A79" s="494"/>
      <c r="B79" s="495"/>
      <c r="C79" s="496"/>
      <c r="D79" s="445" t="s">
        <v>56</v>
      </c>
      <c r="E79" s="445"/>
      <c r="F79" s="174" t="s">
        <v>23</v>
      </c>
      <c r="G79" s="450"/>
      <c r="H79" s="450"/>
      <c r="I79" s="450"/>
      <c r="J79" s="175"/>
      <c r="K79" s="175"/>
      <c r="L79" s="175"/>
      <c r="M79" s="175"/>
      <c r="N79" s="176">
        <f>IF(M79&gt;0,HLOOKUP(F79,Tables!$D$3:$M$22,M79+1,0),0)</f>
        <v>0</v>
      </c>
      <c r="O79" s="177">
        <v>0</v>
      </c>
      <c r="P79" s="177">
        <v>0</v>
      </c>
      <c r="Q79" s="178">
        <f t="shared" si="18"/>
        <v>0</v>
      </c>
    </row>
    <row r="80" spans="1:17" ht="19.95" customHeight="1" x14ac:dyDescent="0.25">
      <c r="A80" s="494"/>
      <c r="B80" s="495"/>
      <c r="C80" s="496"/>
      <c r="D80" s="445" t="s">
        <v>56</v>
      </c>
      <c r="E80" s="445"/>
      <c r="F80" s="174" t="s">
        <v>23</v>
      </c>
      <c r="G80" s="450"/>
      <c r="H80" s="450"/>
      <c r="I80" s="450"/>
      <c r="J80" s="175"/>
      <c r="K80" s="175"/>
      <c r="L80" s="175"/>
      <c r="M80" s="175"/>
      <c r="N80" s="176">
        <f>IF(M80&gt;0,HLOOKUP(F80,Tables!$D$3:$M$22,M80+1,0),0)</f>
        <v>0</v>
      </c>
      <c r="O80" s="177">
        <v>0</v>
      </c>
      <c r="P80" s="177">
        <v>0</v>
      </c>
      <c r="Q80" s="178">
        <f t="shared" ref="Q80" si="20">SUM(O80:P80)</f>
        <v>0</v>
      </c>
    </row>
    <row r="81" spans="1:17" ht="19.95" customHeight="1" x14ac:dyDescent="0.25">
      <c r="A81" s="454"/>
      <c r="B81" s="455"/>
      <c r="C81" s="476"/>
      <c r="D81" s="445" t="s">
        <v>56</v>
      </c>
      <c r="E81" s="445"/>
      <c r="F81" s="174" t="s">
        <v>23</v>
      </c>
      <c r="G81" s="450"/>
      <c r="H81" s="450"/>
      <c r="I81" s="450"/>
      <c r="J81" s="175"/>
      <c r="K81" s="179"/>
      <c r="L81" s="179"/>
      <c r="M81" s="175"/>
      <c r="N81" s="176">
        <f>IF(M81&gt;0,HLOOKUP(F81,Tables!$D$3:$M$22,M81+1,0),0)</f>
        <v>0</v>
      </c>
      <c r="O81" s="177">
        <v>0</v>
      </c>
      <c r="P81" s="177">
        <v>0</v>
      </c>
      <c r="Q81" s="178">
        <f t="shared" si="17"/>
        <v>0</v>
      </c>
    </row>
    <row r="82" spans="1:17" s="143" customFormat="1" ht="19.95" customHeight="1" thickBot="1" x14ac:dyDescent="0.35">
      <c r="A82" s="456"/>
      <c r="B82" s="457"/>
      <c r="C82" s="477"/>
      <c r="D82" s="447" t="str">
        <f>CONCATENATE(A75," Totals")</f>
        <v>Soccer - Boys Totals</v>
      </c>
      <c r="E82" s="448"/>
      <c r="F82" s="448"/>
      <c r="G82" s="448"/>
      <c r="H82" s="448"/>
      <c r="I82" s="448"/>
      <c r="J82" s="448"/>
      <c r="K82" s="448"/>
      <c r="L82" s="448"/>
      <c r="M82" s="449"/>
      <c r="N82" s="180">
        <f>SUM(N75:N81)</f>
        <v>0</v>
      </c>
      <c r="O82" s="180">
        <f>SUM(O75:O81)</f>
        <v>0</v>
      </c>
      <c r="P82" s="180">
        <f>SUM(P75:P81)</f>
        <v>0</v>
      </c>
      <c r="Q82" s="181">
        <f t="shared" si="17"/>
        <v>0</v>
      </c>
    </row>
    <row r="83" spans="1:17" ht="19.95" customHeight="1" x14ac:dyDescent="0.25">
      <c r="A83" s="452" t="s">
        <v>20</v>
      </c>
      <c r="B83" s="453"/>
      <c r="C83" s="475">
        <f>+'HS - Positions and Funding'!B60</f>
        <v>12894</v>
      </c>
      <c r="D83" s="446" t="s">
        <v>57</v>
      </c>
      <c r="E83" s="446"/>
      <c r="F83" s="168" t="s">
        <v>22</v>
      </c>
      <c r="G83" s="451"/>
      <c r="H83" s="451"/>
      <c r="I83" s="451"/>
      <c r="J83" s="169"/>
      <c r="K83" s="170"/>
      <c r="L83" s="170"/>
      <c r="M83" s="169"/>
      <c r="N83" s="171">
        <f>IF(M83&gt;0,HLOOKUP(F83,Tables!$D$3:$M$22,M83+1,0),0)</f>
        <v>0</v>
      </c>
      <c r="O83" s="172">
        <v>0</v>
      </c>
      <c r="P83" s="172">
        <v>0</v>
      </c>
      <c r="Q83" s="173">
        <f>SUM(O83:P83)</f>
        <v>0</v>
      </c>
    </row>
    <row r="84" spans="1:17" ht="19.95" customHeight="1" x14ac:dyDescent="0.25">
      <c r="A84" s="454"/>
      <c r="B84" s="455"/>
      <c r="C84" s="476"/>
      <c r="D84" s="445" t="s">
        <v>56</v>
      </c>
      <c r="E84" s="445"/>
      <c r="F84" s="174" t="s">
        <v>23</v>
      </c>
      <c r="G84" s="450"/>
      <c r="H84" s="450"/>
      <c r="I84" s="450"/>
      <c r="J84" s="175"/>
      <c r="K84" s="175"/>
      <c r="L84" s="175"/>
      <c r="M84" s="175"/>
      <c r="N84" s="176">
        <f>IF(M84&gt;0,HLOOKUP(F84,Tables!$D$3:$M$22,M84+1,0),0)</f>
        <v>0</v>
      </c>
      <c r="O84" s="177">
        <v>0</v>
      </c>
      <c r="P84" s="177">
        <v>0</v>
      </c>
      <c r="Q84" s="178">
        <f t="shared" ref="Q84:Q90" si="21">SUM(O84:P84)</f>
        <v>0</v>
      </c>
    </row>
    <row r="85" spans="1:17" ht="19.95" customHeight="1" x14ac:dyDescent="0.25">
      <c r="A85" s="454"/>
      <c r="B85" s="455"/>
      <c r="C85" s="476"/>
      <c r="D85" s="445" t="s">
        <v>56</v>
      </c>
      <c r="E85" s="445"/>
      <c r="F85" s="174" t="s">
        <v>23</v>
      </c>
      <c r="G85" s="450"/>
      <c r="H85" s="450"/>
      <c r="I85" s="450"/>
      <c r="J85" s="175"/>
      <c r="K85" s="175"/>
      <c r="L85" s="175"/>
      <c r="M85" s="175"/>
      <c r="N85" s="176">
        <f>IF(M85&gt;0,HLOOKUP(F85,Tables!$D$3:$M$22,M85+1,0),0)</f>
        <v>0</v>
      </c>
      <c r="O85" s="177">
        <v>0</v>
      </c>
      <c r="P85" s="177">
        <v>0</v>
      </c>
      <c r="Q85" s="178">
        <f t="shared" ref="Q85:Q88" si="22">SUM(O85:P85)</f>
        <v>0</v>
      </c>
    </row>
    <row r="86" spans="1:17" ht="19.95" customHeight="1" x14ac:dyDescent="0.25">
      <c r="A86" s="454"/>
      <c r="B86" s="455"/>
      <c r="C86" s="476"/>
      <c r="D86" s="445" t="s">
        <v>56</v>
      </c>
      <c r="E86" s="445"/>
      <c r="F86" s="174" t="s">
        <v>23</v>
      </c>
      <c r="G86" s="450"/>
      <c r="H86" s="450"/>
      <c r="I86" s="450"/>
      <c r="J86" s="175"/>
      <c r="K86" s="175"/>
      <c r="L86" s="175"/>
      <c r="M86" s="175"/>
      <c r="N86" s="176">
        <f>IF(M86&gt;0,HLOOKUP(F86,Tables!$D$3:$M$22,M86+1,0),0)</f>
        <v>0</v>
      </c>
      <c r="O86" s="177">
        <v>0</v>
      </c>
      <c r="P86" s="177">
        <v>0</v>
      </c>
      <c r="Q86" s="178">
        <f t="shared" si="22"/>
        <v>0</v>
      </c>
    </row>
    <row r="87" spans="1:17" ht="19.95" customHeight="1" x14ac:dyDescent="0.25">
      <c r="A87" s="454"/>
      <c r="B87" s="455"/>
      <c r="C87" s="476"/>
      <c r="D87" s="445" t="s">
        <v>56</v>
      </c>
      <c r="E87" s="445"/>
      <c r="F87" s="174" t="s">
        <v>23</v>
      </c>
      <c r="G87" s="450"/>
      <c r="H87" s="450"/>
      <c r="I87" s="450"/>
      <c r="J87" s="175"/>
      <c r="K87" s="175"/>
      <c r="L87" s="175"/>
      <c r="M87" s="175"/>
      <c r="N87" s="176">
        <f>IF(M87&gt;0,HLOOKUP(F87,Tables!$D$3:$M$22,M87+1,0),0)</f>
        <v>0</v>
      </c>
      <c r="O87" s="177">
        <v>0</v>
      </c>
      <c r="P87" s="177">
        <v>0</v>
      </c>
      <c r="Q87" s="178">
        <f t="shared" si="22"/>
        <v>0</v>
      </c>
    </row>
    <row r="88" spans="1:17" ht="19.95" customHeight="1" x14ac:dyDescent="0.25">
      <c r="A88" s="454"/>
      <c r="B88" s="455"/>
      <c r="C88" s="476"/>
      <c r="D88" s="445" t="s">
        <v>56</v>
      </c>
      <c r="E88" s="445"/>
      <c r="F88" s="174" t="s">
        <v>23</v>
      </c>
      <c r="G88" s="450"/>
      <c r="H88" s="450"/>
      <c r="I88" s="450"/>
      <c r="J88" s="175"/>
      <c r="K88" s="175"/>
      <c r="L88" s="175"/>
      <c r="M88" s="175"/>
      <c r="N88" s="176">
        <f>IF(M88&gt;0,HLOOKUP(F88,Tables!$D$3:$M$22,M88+1,0),0)</f>
        <v>0</v>
      </c>
      <c r="O88" s="177">
        <v>0</v>
      </c>
      <c r="P88" s="177">
        <v>0</v>
      </c>
      <c r="Q88" s="178">
        <f t="shared" si="22"/>
        <v>0</v>
      </c>
    </row>
    <row r="89" spans="1:17" ht="19.95" customHeight="1" x14ac:dyDescent="0.25">
      <c r="A89" s="454"/>
      <c r="B89" s="455"/>
      <c r="C89" s="476"/>
      <c r="D89" s="445" t="s">
        <v>56</v>
      </c>
      <c r="E89" s="445"/>
      <c r="F89" s="174" t="s">
        <v>23</v>
      </c>
      <c r="G89" s="450"/>
      <c r="H89" s="450"/>
      <c r="I89" s="450"/>
      <c r="J89" s="175"/>
      <c r="K89" s="179"/>
      <c r="L89" s="179"/>
      <c r="M89" s="175"/>
      <c r="N89" s="176">
        <f>IF(M89&gt;0,HLOOKUP(F89,Tables!$D$3:$M$22,M89+1,0),0)</f>
        <v>0</v>
      </c>
      <c r="O89" s="177">
        <v>0</v>
      </c>
      <c r="P89" s="177">
        <v>0</v>
      </c>
      <c r="Q89" s="178">
        <f t="shared" si="21"/>
        <v>0</v>
      </c>
    </row>
    <row r="90" spans="1:17" s="143" customFormat="1" ht="19.95" customHeight="1" thickBot="1" x14ac:dyDescent="0.35">
      <c r="A90" s="456"/>
      <c r="B90" s="457"/>
      <c r="C90" s="477"/>
      <c r="D90" s="447" t="str">
        <f>CONCATENATE(A83," Totals")</f>
        <v>Softball Totals</v>
      </c>
      <c r="E90" s="448"/>
      <c r="F90" s="448"/>
      <c r="G90" s="448"/>
      <c r="H90" s="448"/>
      <c r="I90" s="448"/>
      <c r="J90" s="448"/>
      <c r="K90" s="448"/>
      <c r="L90" s="448"/>
      <c r="M90" s="449"/>
      <c r="N90" s="180">
        <f>SUM(N83:N89)</f>
        <v>0</v>
      </c>
      <c r="O90" s="180">
        <f t="shared" ref="O90:P90" si="23">SUM(O83:O89)</f>
        <v>0</v>
      </c>
      <c r="P90" s="180">
        <f t="shared" si="23"/>
        <v>0</v>
      </c>
      <c r="Q90" s="181">
        <f t="shared" si="21"/>
        <v>0</v>
      </c>
    </row>
    <row r="91" spans="1:17" ht="19.95" customHeight="1" x14ac:dyDescent="0.25">
      <c r="A91" s="452" t="s">
        <v>14</v>
      </c>
      <c r="B91" s="453"/>
      <c r="C91" s="475">
        <f>+'HS - Positions and Funding'!B68</f>
        <v>4734</v>
      </c>
      <c r="D91" s="446" t="s">
        <v>57</v>
      </c>
      <c r="E91" s="446"/>
      <c r="F91" s="168" t="s">
        <v>5</v>
      </c>
      <c r="G91" s="451"/>
      <c r="H91" s="451"/>
      <c r="I91" s="451"/>
      <c r="J91" s="169"/>
      <c r="K91" s="170"/>
      <c r="L91" s="170"/>
      <c r="M91" s="169"/>
      <c r="N91" s="171">
        <f>IF(M91&gt;0,HLOOKUP(F91,Tables!$D$3:$M$22,M91+1,0),0)</f>
        <v>0</v>
      </c>
      <c r="O91" s="172">
        <v>0</v>
      </c>
      <c r="P91" s="172">
        <v>0</v>
      </c>
      <c r="Q91" s="173">
        <f>SUM(O91:P91)</f>
        <v>0</v>
      </c>
    </row>
    <row r="92" spans="1:17" ht="19.95" customHeight="1" x14ac:dyDescent="0.25">
      <c r="A92" s="454"/>
      <c r="B92" s="455"/>
      <c r="C92" s="476"/>
      <c r="D92" s="445" t="s">
        <v>56</v>
      </c>
      <c r="E92" s="445"/>
      <c r="F92" s="174" t="s">
        <v>47</v>
      </c>
      <c r="G92" s="450"/>
      <c r="H92" s="450"/>
      <c r="I92" s="450"/>
      <c r="J92" s="175"/>
      <c r="K92" s="175"/>
      <c r="L92" s="175"/>
      <c r="M92" s="175"/>
      <c r="N92" s="176">
        <f>IF(M92&gt;0,HLOOKUP(F92,Tables!$D$3:$M$22,M92+1,0),0)</f>
        <v>0</v>
      </c>
      <c r="O92" s="177">
        <v>0</v>
      </c>
      <c r="P92" s="177">
        <v>0</v>
      </c>
      <c r="Q92" s="178">
        <f t="shared" ref="Q92" si="24">SUM(O92:P92)</f>
        <v>0</v>
      </c>
    </row>
    <row r="93" spans="1:17" ht="19.95" customHeight="1" x14ac:dyDescent="0.25">
      <c r="A93" s="454"/>
      <c r="B93" s="455"/>
      <c r="C93" s="476"/>
      <c r="D93" s="445" t="s">
        <v>56</v>
      </c>
      <c r="E93" s="445"/>
      <c r="F93" s="174" t="s">
        <v>47</v>
      </c>
      <c r="G93" s="450"/>
      <c r="H93" s="450"/>
      <c r="I93" s="450"/>
      <c r="J93" s="175"/>
      <c r="K93" s="179"/>
      <c r="L93" s="179"/>
      <c r="M93" s="175"/>
      <c r="N93" s="176">
        <f>IF(M93&gt;0,HLOOKUP(F93,Tables!$D$3:$M$22,M93+1,0),0)</f>
        <v>0</v>
      </c>
      <c r="O93" s="177">
        <v>0</v>
      </c>
      <c r="P93" s="177">
        <v>0</v>
      </c>
      <c r="Q93" s="178">
        <f t="shared" ref="Q93" si="25">SUM(O93:P93)</f>
        <v>0</v>
      </c>
    </row>
    <row r="94" spans="1:17" s="143" customFormat="1" ht="19.95" customHeight="1" thickBot="1" x14ac:dyDescent="0.35">
      <c r="A94" s="456"/>
      <c r="B94" s="457"/>
      <c r="C94" s="477"/>
      <c r="D94" s="447" t="str">
        <f>CONCATENATE(A91," Totals")</f>
        <v>Tennis - Boys Totals</v>
      </c>
      <c r="E94" s="448"/>
      <c r="F94" s="448"/>
      <c r="G94" s="448"/>
      <c r="H94" s="448"/>
      <c r="I94" s="448"/>
      <c r="J94" s="448"/>
      <c r="K94" s="448"/>
      <c r="L94" s="448"/>
      <c r="M94" s="449"/>
      <c r="N94" s="180">
        <f>SUM(N91:N93)</f>
        <v>0</v>
      </c>
      <c r="O94" s="180">
        <f>SUM(O91:O93)</f>
        <v>0</v>
      </c>
      <c r="P94" s="180">
        <f>SUM(P91:P93)</f>
        <v>0</v>
      </c>
      <c r="Q94" s="181">
        <f t="shared" ref="Q94" si="26">SUM(O94:P94)</f>
        <v>0</v>
      </c>
    </row>
    <row r="95" spans="1:17" ht="19.95" customHeight="1" x14ac:dyDescent="0.25">
      <c r="A95" s="452" t="s">
        <v>8</v>
      </c>
      <c r="B95" s="453"/>
      <c r="C95" s="475">
        <f>+'HS - Positions and Funding'!B72</f>
        <v>10091</v>
      </c>
      <c r="D95" s="446" t="s">
        <v>57</v>
      </c>
      <c r="E95" s="446"/>
      <c r="F95" s="168" t="s">
        <v>22</v>
      </c>
      <c r="G95" s="451"/>
      <c r="H95" s="451"/>
      <c r="I95" s="451"/>
      <c r="J95" s="169"/>
      <c r="K95" s="170"/>
      <c r="L95" s="170"/>
      <c r="M95" s="169"/>
      <c r="N95" s="171">
        <f>IF(M95&gt;0,HLOOKUP(F95,Tables!$D$3:$M$22,M95+1,0),0)</f>
        <v>0</v>
      </c>
      <c r="O95" s="172">
        <v>0</v>
      </c>
      <c r="P95" s="172">
        <v>0</v>
      </c>
      <c r="Q95" s="173">
        <f>SUM(O95:P95)</f>
        <v>0</v>
      </c>
    </row>
    <row r="96" spans="1:17" ht="19.95" customHeight="1" x14ac:dyDescent="0.25">
      <c r="A96" s="454"/>
      <c r="B96" s="455"/>
      <c r="C96" s="476"/>
      <c r="D96" s="445" t="s">
        <v>56</v>
      </c>
      <c r="E96" s="445"/>
      <c r="F96" s="174" t="s">
        <v>23</v>
      </c>
      <c r="G96" s="450"/>
      <c r="H96" s="450"/>
      <c r="I96" s="450"/>
      <c r="J96" s="175"/>
      <c r="K96" s="175"/>
      <c r="L96" s="175"/>
      <c r="M96" s="175"/>
      <c r="N96" s="176">
        <f>IF(M96&gt;0,HLOOKUP(F96,Tables!$D$3:$M$22,M96+1,0),0)</f>
        <v>0</v>
      </c>
      <c r="O96" s="177">
        <v>0</v>
      </c>
      <c r="P96" s="177">
        <v>0</v>
      </c>
      <c r="Q96" s="178">
        <f t="shared" ref="Q96:Q100" si="27">SUM(O96:P96)</f>
        <v>0</v>
      </c>
    </row>
    <row r="97" spans="1:17" ht="19.95" customHeight="1" x14ac:dyDescent="0.25">
      <c r="A97" s="454"/>
      <c r="B97" s="455"/>
      <c r="C97" s="476"/>
      <c r="D97" s="445" t="s">
        <v>56</v>
      </c>
      <c r="E97" s="445"/>
      <c r="F97" s="174" t="s">
        <v>23</v>
      </c>
      <c r="G97" s="450"/>
      <c r="H97" s="450"/>
      <c r="I97" s="450"/>
      <c r="J97" s="175"/>
      <c r="K97" s="175"/>
      <c r="L97" s="175"/>
      <c r="M97" s="175"/>
      <c r="N97" s="176">
        <f>IF(M97&gt;0,HLOOKUP(F97,Tables!$D$3:$M$22,M97+1,0),0)</f>
        <v>0</v>
      </c>
      <c r="O97" s="177">
        <v>0</v>
      </c>
      <c r="P97" s="177">
        <v>0</v>
      </c>
      <c r="Q97" s="178">
        <f t="shared" ref="Q97:Q98" si="28">SUM(O97:P97)</f>
        <v>0</v>
      </c>
    </row>
    <row r="98" spans="1:17" ht="19.95" customHeight="1" x14ac:dyDescent="0.25">
      <c r="A98" s="454"/>
      <c r="B98" s="455"/>
      <c r="C98" s="476"/>
      <c r="D98" s="445" t="s">
        <v>56</v>
      </c>
      <c r="E98" s="445"/>
      <c r="F98" s="174" t="s">
        <v>23</v>
      </c>
      <c r="G98" s="450"/>
      <c r="H98" s="450"/>
      <c r="I98" s="450"/>
      <c r="J98" s="175"/>
      <c r="K98" s="175"/>
      <c r="L98" s="175"/>
      <c r="M98" s="175"/>
      <c r="N98" s="176">
        <f>IF(M98&gt;0,HLOOKUP(F98,Tables!$D$3:$M$22,M98+1,0),0)</f>
        <v>0</v>
      </c>
      <c r="O98" s="177">
        <v>0</v>
      </c>
      <c r="P98" s="177">
        <v>0</v>
      </c>
      <c r="Q98" s="178">
        <f t="shared" si="28"/>
        <v>0</v>
      </c>
    </row>
    <row r="99" spans="1:17" ht="19.95" customHeight="1" x14ac:dyDescent="0.25">
      <c r="A99" s="454"/>
      <c r="B99" s="455"/>
      <c r="C99" s="476"/>
      <c r="D99" s="445" t="s">
        <v>56</v>
      </c>
      <c r="E99" s="445"/>
      <c r="F99" s="174" t="s">
        <v>23</v>
      </c>
      <c r="G99" s="450"/>
      <c r="H99" s="450"/>
      <c r="I99" s="450"/>
      <c r="J99" s="175"/>
      <c r="K99" s="179"/>
      <c r="L99" s="179"/>
      <c r="M99" s="175"/>
      <c r="N99" s="176">
        <f>IF(M99&gt;0,HLOOKUP(F99,Tables!$D$3:$M$22,M99+1,0),0)</f>
        <v>0</v>
      </c>
      <c r="O99" s="177">
        <v>0</v>
      </c>
      <c r="P99" s="177">
        <v>0</v>
      </c>
      <c r="Q99" s="178">
        <f t="shared" si="27"/>
        <v>0</v>
      </c>
    </row>
    <row r="100" spans="1:17" s="143" customFormat="1" ht="19.95" customHeight="1" thickBot="1" x14ac:dyDescent="0.35">
      <c r="A100" s="456"/>
      <c r="B100" s="457"/>
      <c r="C100" s="477"/>
      <c r="D100" s="447" t="str">
        <f>CONCATENATE(A95," Totals")</f>
        <v>Track - Boys Totals</v>
      </c>
      <c r="E100" s="448"/>
      <c r="F100" s="448"/>
      <c r="G100" s="448"/>
      <c r="H100" s="448"/>
      <c r="I100" s="448"/>
      <c r="J100" s="448"/>
      <c r="K100" s="448"/>
      <c r="L100" s="448"/>
      <c r="M100" s="449"/>
      <c r="N100" s="180">
        <f>SUM(N95:N99)</f>
        <v>0</v>
      </c>
      <c r="O100" s="180">
        <f>SUM(O95:O99)</f>
        <v>0</v>
      </c>
      <c r="P100" s="180">
        <f>SUM(P95:P99)</f>
        <v>0</v>
      </c>
      <c r="Q100" s="181">
        <f t="shared" si="27"/>
        <v>0</v>
      </c>
    </row>
    <row r="101" spans="1:17" ht="19.95" customHeight="1" x14ac:dyDescent="0.25">
      <c r="A101" s="452" t="s">
        <v>11</v>
      </c>
      <c r="B101" s="453"/>
      <c r="C101" s="475">
        <f>+'HS - Positions and Funding'!B74</f>
        <v>10091</v>
      </c>
      <c r="D101" s="446" t="s">
        <v>57</v>
      </c>
      <c r="E101" s="446"/>
      <c r="F101" s="168" t="s">
        <v>22</v>
      </c>
      <c r="G101" s="451"/>
      <c r="H101" s="451"/>
      <c r="I101" s="451"/>
      <c r="J101" s="169"/>
      <c r="K101" s="170"/>
      <c r="L101" s="170"/>
      <c r="M101" s="169"/>
      <c r="N101" s="171">
        <f>IF(M101&gt;0,HLOOKUP(F101,Tables!$D$3:$M$22,M101+1,0),0)</f>
        <v>0</v>
      </c>
      <c r="O101" s="172">
        <v>0</v>
      </c>
      <c r="P101" s="172">
        <v>0</v>
      </c>
      <c r="Q101" s="173">
        <f>SUM(O101:P101)</f>
        <v>0</v>
      </c>
    </row>
    <row r="102" spans="1:17" ht="19.95" customHeight="1" x14ac:dyDescent="0.25">
      <c r="A102" s="454"/>
      <c r="B102" s="455"/>
      <c r="C102" s="476"/>
      <c r="D102" s="445" t="s">
        <v>56</v>
      </c>
      <c r="E102" s="445"/>
      <c r="F102" s="174" t="s">
        <v>23</v>
      </c>
      <c r="G102" s="450"/>
      <c r="H102" s="450"/>
      <c r="I102" s="450"/>
      <c r="J102" s="175"/>
      <c r="K102" s="175"/>
      <c r="L102" s="175"/>
      <c r="M102" s="175"/>
      <c r="N102" s="176">
        <f>IF(M102&gt;0,HLOOKUP(F102,Tables!$D$3:$M$22,M102+1,0),0)</f>
        <v>0</v>
      </c>
      <c r="O102" s="177">
        <v>0</v>
      </c>
      <c r="P102" s="177">
        <v>0</v>
      </c>
      <c r="Q102" s="178">
        <f t="shared" ref="Q102:Q106" si="29">SUM(O102:P102)</f>
        <v>0</v>
      </c>
    </row>
    <row r="103" spans="1:17" ht="19.95" customHeight="1" x14ac:dyDescent="0.25">
      <c r="A103" s="454"/>
      <c r="B103" s="455"/>
      <c r="C103" s="476"/>
      <c r="D103" s="445" t="s">
        <v>56</v>
      </c>
      <c r="E103" s="445"/>
      <c r="F103" s="174" t="s">
        <v>23</v>
      </c>
      <c r="G103" s="450"/>
      <c r="H103" s="450"/>
      <c r="I103" s="450"/>
      <c r="J103" s="175"/>
      <c r="K103" s="175"/>
      <c r="L103" s="175"/>
      <c r="M103" s="175"/>
      <c r="N103" s="176">
        <f>IF(M103&gt;0,HLOOKUP(F103,Tables!$D$3:$M$22,M103+1,0),0)</f>
        <v>0</v>
      </c>
      <c r="O103" s="177">
        <v>0</v>
      </c>
      <c r="P103" s="177">
        <v>0</v>
      </c>
      <c r="Q103" s="178">
        <f t="shared" si="29"/>
        <v>0</v>
      </c>
    </row>
    <row r="104" spans="1:17" ht="19.95" customHeight="1" x14ac:dyDescent="0.25">
      <c r="A104" s="454"/>
      <c r="B104" s="455"/>
      <c r="C104" s="476"/>
      <c r="D104" s="445" t="s">
        <v>56</v>
      </c>
      <c r="E104" s="445"/>
      <c r="F104" s="174" t="s">
        <v>23</v>
      </c>
      <c r="G104" s="450"/>
      <c r="H104" s="450"/>
      <c r="I104" s="450"/>
      <c r="J104" s="175"/>
      <c r="K104" s="175"/>
      <c r="L104" s="175"/>
      <c r="M104" s="175"/>
      <c r="N104" s="176">
        <f>IF(M104&gt;0,HLOOKUP(F104,Tables!$D$3:$M$22,M104+1,0),0)</f>
        <v>0</v>
      </c>
      <c r="O104" s="177">
        <v>0</v>
      </c>
      <c r="P104" s="177">
        <v>0</v>
      </c>
      <c r="Q104" s="178">
        <f t="shared" si="29"/>
        <v>0</v>
      </c>
    </row>
    <row r="105" spans="1:17" ht="19.95" customHeight="1" x14ac:dyDescent="0.25">
      <c r="A105" s="454"/>
      <c r="B105" s="455"/>
      <c r="C105" s="476"/>
      <c r="D105" s="445" t="s">
        <v>56</v>
      </c>
      <c r="E105" s="445"/>
      <c r="F105" s="174" t="s">
        <v>23</v>
      </c>
      <c r="G105" s="450"/>
      <c r="H105" s="450"/>
      <c r="I105" s="450"/>
      <c r="J105" s="175"/>
      <c r="K105" s="179"/>
      <c r="L105" s="179"/>
      <c r="M105" s="175"/>
      <c r="N105" s="176">
        <f>IF(M105&gt;0,HLOOKUP(F105,Tables!$D$3:$M$22,M105+1,0),0)</f>
        <v>0</v>
      </c>
      <c r="O105" s="177">
        <v>0</v>
      </c>
      <c r="P105" s="177">
        <v>0</v>
      </c>
      <c r="Q105" s="178">
        <f t="shared" si="29"/>
        <v>0</v>
      </c>
    </row>
    <row r="106" spans="1:17" s="143" customFormat="1" ht="19.95" customHeight="1" thickBot="1" x14ac:dyDescent="0.35">
      <c r="A106" s="456"/>
      <c r="B106" s="457"/>
      <c r="C106" s="477"/>
      <c r="D106" s="447" t="str">
        <f>CONCATENATE(A101," Totals")</f>
        <v>Track - Girls Totals</v>
      </c>
      <c r="E106" s="448"/>
      <c r="F106" s="448"/>
      <c r="G106" s="448"/>
      <c r="H106" s="448"/>
      <c r="I106" s="448"/>
      <c r="J106" s="448"/>
      <c r="K106" s="448"/>
      <c r="L106" s="448"/>
      <c r="M106" s="449"/>
      <c r="N106" s="180">
        <f>SUM(N101:N105)</f>
        <v>0</v>
      </c>
      <c r="O106" s="180">
        <f>SUM(O101:O105)</f>
        <v>0</v>
      </c>
      <c r="P106" s="180">
        <f>SUM(P101:P105)</f>
        <v>0</v>
      </c>
      <c r="Q106" s="181">
        <f t="shared" si="29"/>
        <v>0</v>
      </c>
    </row>
    <row r="107" spans="1:17" s="143" customFormat="1" ht="19.95" customHeight="1" x14ac:dyDescent="0.25">
      <c r="A107" s="452" t="s">
        <v>269</v>
      </c>
      <c r="B107" s="453"/>
      <c r="C107" s="475">
        <f>+'HS - Positions and Funding'!B76</f>
        <v>12894</v>
      </c>
      <c r="D107" s="446" t="s">
        <v>57</v>
      </c>
      <c r="E107" s="446"/>
      <c r="F107" s="168" t="s">
        <v>22</v>
      </c>
      <c r="G107" s="451"/>
      <c r="H107" s="451"/>
      <c r="I107" s="451"/>
      <c r="J107" s="169"/>
      <c r="K107" s="170"/>
      <c r="L107" s="170"/>
      <c r="M107" s="169"/>
      <c r="N107" s="171">
        <f>IF(M107&gt;0,HLOOKUP(F107,Tables!$D$3:$M$22,M107+1,0),0)</f>
        <v>0</v>
      </c>
      <c r="O107" s="172">
        <v>0</v>
      </c>
      <c r="P107" s="172">
        <v>0</v>
      </c>
      <c r="Q107" s="173">
        <f>SUM(O107:P107)</f>
        <v>0</v>
      </c>
    </row>
    <row r="108" spans="1:17" s="143" customFormat="1" ht="19.95" customHeight="1" x14ac:dyDescent="0.25">
      <c r="A108" s="454"/>
      <c r="B108" s="455"/>
      <c r="C108" s="476"/>
      <c r="D108" s="445" t="s">
        <v>56</v>
      </c>
      <c r="E108" s="445"/>
      <c r="F108" s="174" t="s">
        <v>23</v>
      </c>
      <c r="G108" s="450"/>
      <c r="H108" s="450"/>
      <c r="I108" s="450"/>
      <c r="J108" s="175"/>
      <c r="K108" s="175"/>
      <c r="L108" s="175"/>
      <c r="M108" s="175"/>
      <c r="N108" s="176">
        <f>IF(M108&gt;0,HLOOKUP(F108,Tables!$D$3:$M$22,M108+1,0),0)</f>
        <v>0</v>
      </c>
      <c r="O108" s="177">
        <v>0</v>
      </c>
      <c r="P108" s="177">
        <v>0</v>
      </c>
      <c r="Q108" s="178">
        <f t="shared" ref="Q108:Q115" si="30">SUM(O108:P108)</f>
        <v>0</v>
      </c>
    </row>
    <row r="109" spans="1:17" s="143" customFormat="1" ht="19.95" customHeight="1" x14ac:dyDescent="0.25">
      <c r="A109" s="454"/>
      <c r="B109" s="455"/>
      <c r="C109" s="476"/>
      <c r="D109" s="445" t="s">
        <v>56</v>
      </c>
      <c r="E109" s="445"/>
      <c r="F109" s="174" t="s">
        <v>23</v>
      </c>
      <c r="G109" s="450"/>
      <c r="H109" s="450"/>
      <c r="I109" s="450"/>
      <c r="J109" s="175"/>
      <c r="K109" s="175"/>
      <c r="L109" s="175"/>
      <c r="M109" s="175"/>
      <c r="N109" s="176">
        <f>IF(M109&gt;0,HLOOKUP(F109,Tables!$D$3:$M$22,M109+1,0),0)</f>
        <v>0</v>
      </c>
      <c r="O109" s="177">
        <v>0</v>
      </c>
      <c r="P109" s="177">
        <v>0</v>
      </c>
      <c r="Q109" s="178">
        <f t="shared" ref="Q109:Q113" si="31">SUM(O109:P109)</f>
        <v>0</v>
      </c>
    </row>
    <row r="110" spans="1:17" s="143" customFormat="1" ht="19.95" customHeight="1" x14ac:dyDescent="0.25">
      <c r="A110" s="454"/>
      <c r="B110" s="455"/>
      <c r="C110" s="476"/>
      <c r="D110" s="445" t="s">
        <v>56</v>
      </c>
      <c r="E110" s="445"/>
      <c r="F110" s="174" t="s">
        <v>23</v>
      </c>
      <c r="G110" s="450"/>
      <c r="H110" s="450"/>
      <c r="I110" s="450"/>
      <c r="J110" s="175"/>
      <c r="K110" s="175"/>
      <c r="L110" s="175"/>
      <c r="M110" s="175"/>
      <c r="N110" s="176">
        <f>IF(M110&gt;0,HLOOKUP(F110,Tables!$D$3:$M$22,M110+1,0),0)</f>
        <v>0</v>
      </c>
      <c r="O110" s="177">
        <v>0</v>
      </c>
      <c r="P110" s="177">
        <v>0</v>
      </c>
      <c r="Q110" s="178">
        <f t="shared" si="31"/>
        <v>0</v>
      </c>
    </row>
    <row r="111" spans="1:17" s="143" customFormat="1" ht="19.95" customHeight="1" x14ac:dyDescent="0.25">
      <c r="A111" s="454"/>
      <c r="B111" s="455"/>
      <c r="C111" s="476"/>
      <c r="D111" s="445" t="s">
        <v>56</v>
      </c>
      <c r="E111" s="445"/>
      <c r="F111" s="174" t="s">
        <v>23</v>
      </c>
      <c r="G111" s="450"/>
      <c r="H111" s="450"/>
      <c r="I111" s="450"/>
      <c r="J111" s="175"/>
      <c r="K111" s="175"/>
      <c r="L111" s="175"/>
      <c r="M111" s="175"/>
      <c r="N111" s="176">
        <f>IF(M111&gt;0,HLOOKUP(F111,Tables!$D$3:$M$22,M111+1,0),0)</f>
        <v>0</v>
      </c>
      <c r="O111" s="177">
        <v>0</v>
      </c>
      <c r="P111" s="177">
        <v>0</v>
      </c>
      <c r="Q111" s="178">
        <f t="shared" si="31"/>
        <v>0</v>
      </c>
    </row>
    <row r="112" spans="1:17" s="143" customFormat="1" ht="19.95" customHeight="1" x14ac:dyDescent="0.25">
      <c r="A112" s="454"/>
      <c r="B112" s="455"/>
      <c r="C112" s="476"/>
      <c r="D112" s="445" t="s">
        <v>56</v>
      </c>
      <c r="E112" s="445"/>
      <c r="F112" s="174" t="s">
        <v>23</v>
      </c>
      <c r="G112" s="450"/>
      <c r="H112" s="450"/>
      <c r="I112" s="450"/>
      <c r="J112" s="175"/>
      <c r="K112" s="175"/>
      <c r="L112" s="175"/>
      <c r="M112" s="175"/>
      <c r="N112" s="176">
        <f>IF(M112&gt;0,HLOOKUP(F112,Tables!$D$3:$M$22,M112+1,0),0)</f>
        <v>0</v>
      </c>
      <c r="O112" s="177">
        <v>0</v>
      </c>
      <c r="P112" s="177">
        <v>0</v>
      </c>
      <c r="Q112" s="178">
        <f t="shared" ref="Q112" si="32">SUM(O112:P112)</f>
        <v>0</v>
      </c>
    </row>
    <row r="113" spans="1:17" s="143" customFormat="1" ht="19.95" customHeight="1" x14ac:dyDescent="0.25">
      <c r="A113" s="454"/>
      <c r="B113" s="455"/>
      <c r="C113" s="476"/>
      <c r="D113" s="445" t="s">
        <v>56</v>
      </c>
      <c r="E113" s="445"/>
      <c r="F113" s="174" t="s">
        <v>23</v>
      </c>
      <c r="G113" s="450"/>
      <c r="H113" s="450"/>
      <c r="I113" s="450"/>
      <c r="J113" s="175"/>
      <c r="K113" s="175"/>
      <c r="L113" s="175"/>
      <c r="M113" s="175"/>
      <c r="N113" s="176">
        <f>IF(M113&gt;0,HLOOKUP(F113,Tables!$D$3:$M$22,M113+1,0),0)</f>
        <v>0</v>
      </c>
      <c r="O113" s="177">
        <v>0</v>
      </c>
      <c r="P113" s="177">
        <v>0</v>
      </c>
      <c r="Q113" s="178">
        <f t="shared" si="31"/>
        <v>0</v>
      </c>
    </row>
    <row r="114" spans="1:17" s="143" customFormat="1" ht="19.95" customHeight="1" x14ac:dyDescent="0.25">
      <c r="A114" s="454"/>
      <c r="B114" s="455"/>
      <c r="C114" s="476"/>
      <c r="D114" s="445" t="s">
        <v>56</v>
      </c>
      <c r="E114" s="445"/>
      <c r="F114" s="174" t="s">
        <v>23</v>
      </c>
      <c r="G114" s="450"/>
      <c r="H114" s="450"/>
      <c r="I114" s="450"/>
      <c r="J114" s="175"/>
      <c r="K114" s="195"/>
      <c r="L114" s="195"/>
      <c r="M114" s="175"/>
      <c r="N114" s="196">
        <f>IF(M114&gt;0,HLOOKUP(F114,Tables!$D$3:$M$22,M114+1,0),0)</f>
        <v>0</v>
      </c>
      <c r="O114" s="177">
        <v>0</v>
      </c>
      <c r="P114" s="177">
        <v>0</v>
      </c>
      <c r="Q114" s="178">
        <f t="shared" si="30"/>
        <v>0</v>
      </c>
    </row>
    <row r="115" spans="1:17" s="143" customFormat="1" ht="19.95" customHeight="1" x14ac:dyDescent="0.3">
      <c r="A115" s="454"/>
      <c r="B115" s="455"/>
      <c r="C115" s="476"/>
      <c r="D115" s="497" t="str">
        <f>CONCATENATE(A107," Totals")</f>
        <v>Volleyball - Boys Totals</v>
      </c>
      <c r="E115" s="498"/>
      <c r="F115" s="498"/>
      <c r="G115" s="498"/>
      <c r="H115" s="498"/>
      <c r="I115" s="498"/>
      <c r="J115" s="498"/>
      <c r="K115" s="498"/>
      <c r="L115" s="498"/>
      <c r="M115" s="499"/>
      <c r="N115" s="267">
        <f>SUM(N107:N114)</f>
        <v>0</v>
      </c>
      <c r="O115" s="267">
        <f t="shared" ref="O115:P115" si="33">SUM(O107:O114)</f>
        <v>0</v>
      </c>
      <c r="P115" s="267">
        <f t="shared" si="33"/>
        <v>0</v>
      </c>
      <c r="Q115" s="268">
        <f t="shared" si="30"/>
        <v>0</v>
      </c>
    </row>
    <row r="116" spans="1:17" s="142" customFormat="1" ht="19.95" customHeight="1" thickBot="1" x14ac:dyDescent="0.35">
      <c r="A116" s="182"/>
      <c r="B116" s="183"/>
      <c r="C116" s="183"/>
      <c r="D116" s="183"/>
      <c r="E116" s="183"/>
      <c r="F116" s="197"/>
      <c r="G116" s="183"/>
      <c r="H116" s="183"/>
      <c r="I116" s="183"/>
      <c r="J116" s="183"/>
      <c r="K116" s="183"/>
      <c r="L116" s="183"/>
      <c r="M116" s="184" t="s">
        <v>134</v>
      </c>
      <c r="N116" s="185">
        <f>+N115+N106+N100+N90+N82+N60+N56+N94+N67+N74</f>
        <v>0</v>
      </c>
      <c r="O116" s="185">
        <f>+O115+O106+O100+O90+O82+O60+O56+O94+O67+O74</f>
        <v>0</v>
      </c>
      <c r="P116" s="185">
        <f>+P115+P106+P100+P90+P82+P60+P56+P94+P67+P74</f>
        <v>0</v>
      </c>
      <c r="Q116" s="186">
        <f>+Q115+Q106+Q100+Q90+Q82+Q60+Q56+Q94+Q67+Q74</f>
        <v>0</v>
      </c>
    </row>
    <row r="117" spans="1:17" ht="12.75" customHeight="1" x14ac:dyDescent="0.25">
      <c r="A117" s="152" t="s">
        <v>178</v>
      </c>
      <c r="B117" s="11"/>
      <c r="C117" s="11"/>
      <c r="D117" s="11"/>
      <c r="E117" s="11"/>
      <c r="F117" s="11"/>
      <c r="G117" s="11"/>
      <c r="H117" s="11"/>
      <c r="I117" s="11"/>
      <c r="J117" s="11"/>
      <c r="K117" s="11"/>
      <c r="L117" s="11"/>
      <c r="M117" s="11"/>
      <c r="N117" s="11"/>
      <c r="O117" s="11"/>
      <c r="P117" s="11"/>
      <c r="Q117" s="132"/>
    </row>
    <row r="118" spans="1:17" ht="12.75" customHeight="1" x14ac:dyDescent="0.25">
      <c r="A118" s="153" t="s">
        <v>170</v>
      </c>
      <c r="B118" s="19"/>
      <c r="C118" s="19"/>
      <c r="D118" s="19"/>
      <c r="E118" s="19"/>
      <c r="F118" s="19"/>
      <c r="G118" s="19"/>
      <c r="H118" s="19"/>
      <c r="I118" s="19"/>
      <c r="J118" s="19"/>
      <c r="K118" s="19"/>
      <c r="L118" s="19"/>
      <c r="M118" s="19"/>
      <c r="N118" s="19"/>
      <c r="O118" s="19"/>
      <c r="P118" s="19"/>
      <c r="Q118" s="29"/>
    </row>
    <row r="119" spans="1:17" ht="12.75" customHeight="1" x14ac:dyDescent="0.25">
      <c r="A119" s="154" t="s">
        <v>179</v>
      </c>
      <c r="B119" s="19"/>
      <c r="C119" s="19"/>
      <c r="D119" s="19"/>
      <c r="E119" s="19"/>
      <c r="F119" s="19"/>
      <c r="G119" s="19"/>
      <c r="H119" s="19"/>
      <c r="I119" s="19"/>
      <c r="J119" s="19"/>
      <c r="K119" s="19"/>
      <c r="L119" s="19"/>
      <c r="M119" s="19"/>
      <c r="N119" s="19"/>
      <c r="O119" s="19"/>
      <c r="P119" s="19"/>
      <c r="Q119" s="29"/>
    </row>
    <row r="120" spans="1:17" ht="12.75" customHeight="1" x14ac:dyDescent="0.25">
      <c r="A120" s="154" t="s">
        <v>207</v>
      </c>
      <c r="B120" s="19"/>
      <c r="C120" s="19"/>
      <c r="D120" s="19"/>
      <c r="E120" s="19"/>
      <c r="F120" s="19"/>
      <c r="G120" s="19"/>
      <c r="H120" s="19"/>
      <c r="I120" s="19"/>
      <c r="J120" s="19"/>
      <c r="K120" s="19"/>
      <c r="L120" s="19"/>
      <c r="M120" s="19"/>
      <c r="N120" s="19"/>
      <c r="O120" s="19"/>
      <c r="P120" s="19"/>
      <c r="Q120" s="29"/>
    </row>
    <row r="121" spans="1:17" ht="12.75" customHeight="1" x14ac:dyDescent="0.25">
      <c r="A121" s="154" t="s">
        <v>208</v>
      </c>
      <c r="B121" s="19"/>
      <c r="C121" s="19"/>
      <c r="D121" s="19"/>
      <c r="E121" s="19"/>
      <c r="F121" s="19"/>
      <c r="G121" s="19"/>
      <c r="H121" s="19"/>
      <c r="I121" s="19"/>
      <c r="J121" s="19"/>
      <c r="K121" s="19"/>
      <c r="L121" s="19"/>
      <c r="M121" s="19"/>
      <c r="N121" s="19"/>
      <c r="O121" s="19"/>
      <c r="P121" s="19"/>
      <c r="Q121" s="29"/>
    </row>
    <row r="122" spans="1:17" x14ac:dyDescent="0.25">
      <c r="A122" s="153" t="s">
        <v>171</v>
      </c>
      <c r="B122" s="19"/>
      <c r="C122" s="19"/>
      <c r="D122" s="19"/>
      <c r="E122" s="19"/>
      <c r="F122" s="19"/>
      <c r="G122" s="19"/>
      <c r="H122" s="19"/>
      <c r="I122" s="19"/>
      <c r="J122" s="19"/>
      <c r="K122" s="19"/>
      <c r="L122" s="19"/>
      <c r="M122" s="19"/>
      <c r="N122" s="19"/>
      <c r="O122" s="19"/>
      <c r="P122" s="19"/>
      <c r="Q122" s="29"/>
    </row>
    <row r="123" spans="1:17" x14ac:dyDescent="0.25">
      <c r="A123" s="154" t="s">
        <v>182</v>
      </c>
      <c r="B123" s="19"/>
      <c r="C123" s="19"/>
      <c r="D123" s="19"/>
      <c r="E123" s="19"/>
      <c r="F123" s="19"/>
      <c r="G123" s="19"/>
      <c r="H123" s="19"/>
      <c r="I123" s="19"/>
      <c r="J123" s="19"/>
      <c r="K123" s="19"/>
      <c r="L123" s="19"/>
      <c r="M123" s="19"/>
      <c r="N123" s="19"/>
      <c r="O123" s="19"/>
      <c r="P123" s="19"/>
      <c r="Q123" s="29"/>
    </row>
    <row r="124" spans="1:17" x14ac:dyDescent="0.25">
      <c r="A124" s="155" t="s">
        <v>177</v>
      </c>
      <c r="B124" s="19"/>
      <c r="C124" s="19"/>
      <c r="D124" s="19"/>
      <c r="E124" s="19"/>
      <c r="F124" s="19"/>
      <c r="G124" s="19"/>
      <c r="H124" s="19"/>
      <c r="I124" s="19"/>
      <c r="J124" s="19"/>
      <c r="K124" s="19"/>
      <c r="L124" s="19"/>
      <c r="M124" s="19"/>
      <c r="N124" s="19"/>
      <c r="O124" s="19"/>
      <c r="P124" s="19"/>
      <c r="Q124" s="29"/>
    </row>
    <row r="125" spans="1:17" x14ac:dyDescent="0.25">
      <c r="A125" s="155" t="s">
        <v>209</v>
      </c>
      <c r="B125" s="19"/>
      <c r="C125" s="19"/>
      <c r="D125" s="19"/>
      <c r="E125" s="19"/>
      <c r="F125" s="19"/>
      <c r="G125" s="19"/>
      <c r="H125" s="19"/>
      <c r="I125" s="19"/>
      <c r="J125" s="19"/>
      <c r="K125" s="19"/>
      <c r="L125" s="19"/>
      <c r="M125" s="19"/>
      <c r="N125" s="19"/>
      <c r="O125" s="19"/>
      <c r="P125" s="19"/>
      <c r="Q125" s="29"/>
    </row>
    <row r="126" spans="1:17" x14ac:dyDescent="0.25">
      <c r="A126" s="156" t="s">
        <v>172</v>
      </c>
      <c r="B126" s="19"/>
      <c r="C126" s="19"/>
      <c r="D126" s="19"/>
      <c r="E126" s="19"/>
      <c r="F126" s="19"/>
      <c r="G126" s="19"/>
      <c r="H126" s="19"/>
      <c r="I126" s="19"/>
      <c r="J126" s="19"/>
      <c r="K126" s="19"/>
      <c r="L126" s="19"/>
      <c r="M126" s="19"/>
      <c r="N126" s="19"/>
      <c r="O126" s="19"/>
      <c r="P126" s="19"/>
      <c r="Q126" s="29"/>
    </row>
    <row r="127" spans="1:17" x14ac:dyDescent="0.25">
      <c r="A127" s="155" t="s">
        <v>211</v>
      </c>
      <c r="B127" s="19"/>
      <c r="C127" s="19"/>
      <c r="D127" s="19"/>
      <c r="E127" s="19"/>
      <c r="F127" s="19"/>
      <c r="G127" s="19"/>
      <c r="H127" s="19"/>
      <c r="I127" s="19"/>
      <c r="J127" s="19"/>
      <c r="K127" s="19"/>
      <c r="L127" s="19"/>
      <c r="M127" s="19"/>
      <c r="N127" s="19"/>
      <c r="O127" s="19"/>
      <c r="P127" s="19"/>
      <c r="Q127" s="29"/>
    </row>
    <row r="128" spans="1:17" x14ac:dyDescent="0.25">
      <c r="A128" s="155" t="s">
        <v>210</v>
      </c>
      <c r="B128" s="19"/>
      <c r="C128" s="19"/>
      <c r="D128" s="19"/>
      <c r="E128" s="19"/>
      <c r="F128" s="19"/>
      <c r="G128" s="19"/>
      <c r="H128" s="19"/>
      <c r="I128" s="19"/>
      <c r="J128" s="19"/>
      <c r="K128" s="19"/>
      <c r="L128" s="19"/>
      <c r="M128" s="19"/>
      <c r="N128" s="19"/>
      <c r="O128" s="19"/>
      <c r="P128" s="19"/>
      <c r="Q128" s="29"/>
    </row>
    <row r="129" spans="1:17" x14ac:dyDescent="0.25">
      <c r="A129" s="156" t="s">
        <v>173</v>
      </c>
      <c r="B129" s="19"/>
      <c r="C129" s="19"/>
      <c r="D129" s="19"/>
      <c r="E129" s="19"/>
      <c r="F129" s="19"/>
      <c r="G129" s="19"/>
      <c r="H129" s="19"/>
      <c r="I129" s="19"/>
      <c r="J129" s="19"/>
      <c r="K129" s="19"/>
      <c r="L129" s="19"/>
      <c r="M129" s="19"/>
      <c r="N129" s="19"/>
      <c r="O129" s="19"/>
      <c r="P129" s="19"/>
      <c r="Q129" s="29"/>
    </row>
    <row r="130" spans="1:17" x14ac:dyDescent="0.25">
      <c r="A130" s="155" t="s">
        <v>181</v>
      </c>
      <c r="B130" s="19"/>
      <c r="C130" s="19"/>
      <c r="D130" s="19"/>
      <c r="E130" s="19"/>
      <c r="F130" s="19"/>
      <c r="G130" s="19"/>
      <c r="H130" s="19"/>
      <c r="I130" s="19"/>
      <c r="J130" s="19"/>
      <c r="K130" s="19"/>
      <c r="L130" s="19"/>
      <c r="M130" s="19"/>
      <c r="N130" s="19"/>
      <c r="O130" s="19"/>
      <c r="P130" s="19"/>
      <c r="Q130" s="29"/>
    </row>
    <row r="131" spans="1:17" x14ac:dyDescent="0.25">
      <c r="A131" s="155" t="s">
        <v>176</v>
      </c>
      <c r="B131" s="19"/>
      <c r="C131" s="19"/>
      <c r="D131" s="19"/>
      <c r="E131" s="19"/>
      <c r="F131" s="19"/>
      <c r="G131" s="19"/>
      <c r="H131" s="19"/>
      <c r="I131" s="19"/>
      <c r="J131" s="19"/>
      <c r="K131" s="19"/>
      <c r="L131" s="19"/>
      <c r="M131" s="19"/>
      <c r="N131" s="19"/>
      <c r="O131" s="19"/>
      <c r="P131" s="19"/>
      <c r="Q131" s="29"/>
    </row>
    <row r="132" spans="1:17" x14ac:dyDescent="0.25">
      <c r="A132" s="155" t="s">
        <v>212</v>
      </c>
      <c r="B132" s="19"/>
      <c r="C132" s="19"/>
      <c r="D132" s="19"/>
      <c r="E132" s="19"/>
      <c r="F132" s="19"/>
      <c r="G132" s="19"/>
      <c r="H132" s="19"/>
      <c r="I132" s="19"/>
      <c r="J132" s="19"/>
      <c r="K132" s="19"/>
      <c r="L132" s="19"/>
      <c r="M132" s="19"/>
      <c r="N132" s="19"/>
      <c r="O132" s="19"/>
      <c r="P132" s="19"/>
      <c r="Q132" s="29"/>
    </row>
    <row r="133" spans="1:17" x14ac:dyDescent="0.25">
      <c r="A133" s="156" t="s">
        <v>174</v>
      </c>
      <c r="B133" s="19"/>
      <c r="C133" s="19"/>
      <c r="D133" s="19"/>
      <c r="E133" s="19"/>
      <c r="F133" s="19"/>
      <c r="G133" s="19"/>
      <c r="H133" s="19"/>
      <c r="I133" s="19"/>
      <c r="J133" s="19"/>
      <c r="K133" s="19"/>
      <c r="L133" s="19"/>
      <c r="M133" s="19"/>
      <c r="N133" s="19"/>
      <c r="O133" s="19"/>
      <c r="P133" s="19"/>
      <c r="Q133" s="29"/>
    </row>
    <row r="134" spans="1:17" x14ac:dyDescent="0.25">
      <c r="A134" s="155" t="s">
        <v>213</v>
      </c>
      <c r="B134" s="19"/>
      <c r="C134" s="19"/>
      <c r="D134" s="19"/>
      <c r="E134" s="19"/>
      <c r="F134" s="19"/>
      <c r="G134" s="19"/>
      <c r="H134" s="19"/>
      <c r="I134" s="19"/>
      <c r="J134" s="19"/>
      <c r="K134" s="19"/>
      <c r="L134" s="19"/>
      <c r="M134" s="19"/>
      <c r="N134" s="19"/>
      <c r="O134" s="19"/>
      <c r="P134" s="19"/>
      <c r="Q134" s="29"/>
    </row>
    <row r="135" spans="1:17" x14ac:dyDescent="0.25">
      <c r="A135" s="155" t="s">
        <v>214</v>
      </c>
      <c r="B135" s="19"/>
      <c r="C135" s="19"/>
      <c r="D135" s="19"/>
      <c r="E135" s="19"/>
      <c r="F135" s="19"/>
      <c r="G135" s="19"/>
      <c r="H135" s="19"/>
      <c r="I135" s="19"/>
      <c r="J135" s="19"/>
      <c r="K135" s="19"/>
      <c r="L135" s="19"/>
      <c r="M135" s="19"/>
      <c r="N135" s="19"/>
      <c r="O135" s="19"/>
      <c r="P135" s="19"/>
      <c r="Q135" s="29"/>
    </row>
    <row r="136" spans="1:17" x14ac:dyDescent="0.25">
      <c r="A136" s="156" t="s">
        <v>175</v>
      </c>
      <c r="B136" s="19"/>
      <c r="C136" s="19"/>
      <c r="D136" s="19"/>
      <c r="E136" s="19"/>
      <c r="F136" s="19"/>
      <c r="G136" s="19"/>
      <c r="H136" s="19"/>
      <c r="I136" s="19"/>
      <c r="J136" s="19"/>
      <c r="K136" s="19"/>
      <c r="L136" s="19"/>
      <c r="M136" s="19"/>
      <c r="N136" s="19"/>
      <c r="O136" s="19"/>
      <c r="P136" s="19"/>
      <c r="Q136" s="29"/>
    </row>
    <row r="137" spans="1:17" x14ac:dyDescent="0.25">
      <c r="A137" s="155" t="s">
        <v>213</v>
      </c>
      <c r="B137" s="19"/>
      <c r="C137" s="19"/>
      <c r="D137" s="19"/>
      <c r="E137" s="19"/>
      <c r="F137" s="19"/>
      <c r="G137" s="19"/>
      <c r="H137" s="19"/>
      <c r="I137" s="19"/>
      <c r="J137" s="19"/>
      <c r="K137" s="19"/>
      <c r="L137" s="19"/>
      <c r="M137" s="19"/>
      <c r="N137" s="19"/>
      <c r="O137" s="19"/>
      <c r="P137" s="19"/>
      <c r="Q137" s="29"/>
    </row>
    <row r="138" spans="1:17" x14ac:dyDescent="0.25">
      <c r="A138" s="155" t="s">
        <v>190</v>
      </c>
      <c r="B138" s="19"/>
      <c r="C138" s="19"/>
      <c r="D138" s="19"/>
      <c r="E138" s="19"/>
      <c r="F138" s="19"/>
      <c r="G138" s="19"/>
      <c r="H138" s="19"/>
      <c r="I138" s="19"/>
      <c r="J138" s="19"/>
      <c r="K138" s="19"/>
      <c r="L138" s="19"/>
      <c r="M138" s="19"/>
      <c r="N138" s="19"/>
      <c r="O138" s="19"/>
      <c r="P138" s="19"/>
      <c r="Q138" s="29"/>
    </row>
    <row r="139" spans="1:17" x14ac:dyDescent="0.25">
      <c r="A139" s="156" t="s">
        <v>180</v>
      </c>
      <c r="B139" s="19"/>
      <c r="C139" s="19"/>
      <c r="D139" s="19"/>
      <c r="E139" s="19"/>
      <c r="F139" s="19"/>
      <c r="G139" s="19"/>
      <c r="H139" s="19"/>
      <c r="I139" s="19"/>
      <c r="J139" s="19"/>
      <c r="K139" s="19"/>
      <c r="L139" s="19"/>
      <c r="M139" s="19"/>
      <c r="N139" s="19"/>
      <c r="O139" s="19"/>
      <c r="P139" s="19"/>
      <c r="Q139" s="29"/>
    </row>
    <row r="140" spans="1:17" x14ac:dyDescent="0.25">
      <c r="A140" s="155" t="s">
        <v>215</v>
      </c>
      <c r="B140" s="19"/>
      <c r="C140" s="19"/>
      <c r="D140" s="19"/>
      <c r="E140" s="19"/>
      <c r="F140" s="19"/>
      <c r="G140" s="19"/>
      <c r="H140" s="19"/>
      <c r="I140" s="19"/>
      <c r="J140" s="19"/>
      <c r="K140" s="19"/>
      <c r="L140" s="19"/>
      <c r="M140" s="19"/>
      <c r="N140" s="19"/>
      <c r="O140" s="19"/>
      <c r="P140" s="19"/>
      <c r="Q140" s="29"/>
    </row>
    <row r="141" spans="1:17" x14ac:dyDescent="0.25">
      <c r="A141" s="155" t="s">
        <v>183</v>
      </c>
      <c r="B141" s="19"/>
      <c r="C141" s="19"/>
      <c r="D141" s="19"/>
      <c r="E141" s="19"/>
      <c r="F141" s="19"/>
      <c r="G141" s="19"/>
      <c r="H141" s="19"/>
      <c r="I141" s="19"/>
      <c r="J141" s="19"/>
      <c r="K141" s="19"/>
      <c r="L141" s="19"/>
      <c r="M141" s="19"/>
      <c r="N141" s="19"/>
      <c r="O141" s="19"/>
      <c r="P141" s="19"/>
      <c r="Q141" s="29"/>
    </row>
    <row r="142" spans="1:17" ht="13.8" thickBot="1" x14ac:dyDescent="0.3">
      <c r="A142" s="33"/>
      <c r="B142" s="34"/>
      <c r="C142" s="34"/>
      <c r="D142" s="34"/>
      <c r="E142" s="34"/>
      <c r="F142" s="34"/>
      <c r="G142" s="34"/>
      <c r="H142" s="34"/>
      <c r="I142" s="34"/>
      <c r="J142" s="34"/>
      <c r="K142" s="34"/>
      <c r="L142" s="34"/>
      <c r="M142" s="34"/>
      <c r="N142" s="34"/>
      <c r="O142" s="34"/>
      <c r="P142" s="34"/>
      <c r="Q142" s="35"/>
    </row>
  </sheetData>
  <sheetProtection algorithmName="SHA-512" hashValue="koOpD1lV0Wu8pHwry09y+Q9cdgJFZUB5DS/D97QJClif83z8mJczhCSmm8BMPi7EuiX5M1EL20qlGKy4o4Gjow==" saltValue="KKMq0bK9t718Bz0wMRH8Nw==" spinCount="100000" sheet="1" selectLockedCells="1"/>
  <mergeCells count="169">
    <mergeCell ref="A107:B115"/>
    <mergeCell ref="C107:C115"/>
    <mergeCell ref="D107:E107"/>
    <mergeCell ref="G107:I107"/>
    <mergeCell ref="D108:E108"/>
    <mergeCell ref="G108:I108"/>
    <mergeCell ref="D109:E109"/>
    <mergeCell ref="G109:I109"/>
    <mergeCell ref="D110:E110"/>
    <mergeCell ref="G110:I110"/>
    <mergeCell ref="D111:E111"/>
    <mergeCell ref="G111:I111"/>
    <mergeCell ref="D113:E113"/>
    <mergeCell ref="G113:I113"/>
    <mergeCell ref="D114:E114"/>
    <mergeCell ref="G114:I114"/>
    <mergeCell ref="D115:M115"/>
    <mergeCell ref="D112:E112"/>
    <mergeCell ref="G112:I112"/>
    <mergeCell ref="C95:C100"/>
    <mergeCell ref="G42:H42"/>
    <mergeCell ref="J42:N42"/>
    <mergeCell ref="P42:Q42"/>
    <mergeCell ref="A101:B106"/>
    <mergeCell ref="C101:C106"/>
    <mergeCell ref="G101:I101"/>
    <mergeCell ref="G102:I102"/>
    <mergeCell ref="G103:I103"/>
    <mergeCell ref="G104:I104"/>
    <mergeCell ref="G105:I105"/>
    <mergeCell ref="D105:E105"/>
    <mergeCell ref="G96:I96"/>
    <mergeCell ref="G97:I97"/>
    <mergeCell ref="G95:I95"/>
    <mergeCell ref="D94:M94"/>
    <mergeCell ref="D91:E91"/>
    <mergeCell ref="D92:E92"/>
    <mergeCell ref="D65:E65"/>
    <mergeCell ref="G65:I65"/>
    <mergeCell ref="D72:E72"/>
    <mergeCell ref="G72:I72"/>
    <mergeCell ref="D80:E80"/>
    <mergeCell ref="G98:I98"/>
    <mergeCell ref="G99:I99"/>
    <mergeCell ref="D106:M106"/>
    <mergeCell ref="A44:E44"/>
    <mergeCell ref="G44:H44"/>
    <mergeCell ref="A40:E40"/>
    <mergeCell ref="G40:H40"/>
    <mergeCell ref="D104:E104"/>
    <mergeCell ref="A47:Q47"/>
    <mergeCell ref="A91:B94"/>
    <mergeCell ref="C91:C94"/>
    <mergeCell ref="D101:E101"/>
    <mergeCell ref="D102:E102"/>
    <mergeCell ref="D103:E103"/>
    <mergeCell ref="D93:E93"/>
    <mergeCell ref="D95:E95"/>
    <mergeCell ref="D96:E96"/>
    <mergeCell ref="D97:E97"/>
    <mergeCell ref="D98:E98"/>
    <mergeCell ref="D99:E99"/>
    <mergeCell ref="D100:M100"/>
    <mergeCell ref="G91:I91"/>
    <mergeCell ref="G92:I92"/>
    <mergeCell ref="A95:B100"/>
    <mergeCell ref="G93:I93"/>
    <mergeCell ref="A2:Q2"/>
    <mergeCell ref="A3:Q3"/>
    <mergeCell ref="A49:B56"/>
    <mergeCell ref="C49:C56"/>
    <mergeCell ref="A48:B48"/>
    <mergeCell ref="G48:I48"/>
    <mergeCell ref="D49:E49"/>
    <mergeCell ref="D50:E50"/>
    <mergeCell ref="D51:E51"/>
    <mergeCell ref="D52:E52"/>
    <mergeCell ref="D53:E53"/>
    <mergeCell ref="G49:I49"/>
    <mergeCell ref="G50:I50"/>
    <mergeCell ref="G51:I51"/>
    <mergeCell ref="G52:I52"/>
    <mergeCell ref="G53:I53"/>
    <mergeCell ref="A5:Q5"/>
    <mergeCell ref="C7:F7"/>
    <mergeCell ref="O7:P7"/>
    <mergeCell ref="C8:F8"/>
    <mergeCell ref="O8:P8"/>
    <mergeCell ref="J44:N44"/>
    <mergeCell ref="J40:N40"/>
    <mergeCell ref="P40:Q40"/>
    <mergeCell ref="A83:B90"/>
    <mergeCell ref="C83:C90"/>
    <mergeCell ref="G84:I84"/>
    <mergeCell ref="G85:I85"/>
    <mergeCell ref="G86:I86"/>
    <mergeCell ref="G87:I87"/>
    <mergeCell ref="G88:I88"/>
    <mergeCell ref="D87:E87"/>
    <mergeCell ref="D88:E88"/>
    <mergeCell ref="D89:E89"/>
    <mergeCell ref="D86:E86"/>
    <mergeCell ref="D84:E84"/>
    <mergeCell ref="D85:E85"/>
    <mergeCell ref="D90:M90"/>
    <mergeCell ref="G89:I89"/>
    <mergeCell ref="G83:I83"/>
    <mergeCell ref="D83:E83"/>
    <mergeCell ref="D82:M82"/>
    <mergeCell ref="D60:M60"/>
    <mergeCell ref="D56:M56"/>
    <mergeCell ref="D54:E54"/>
    <mergeCell ref="D55:E55"/>
    <mergeCell ref="D57:E57"/>
    <mergeCell ref="D58:E58"/>
    <mergeCell ref="A75:B82"/>
    <mergeCell ref="C75:C82"/>
    <mergeCell ref="D59:E59"/>
    <mergeCell ref="G76:I76"/>
    <mergeCell ref="G81:I81"/>
    <mergeCell ref="D81:E81"/>
    <mergeCell ref="G57:I57"/>
    <mergeCell ref="G58:I58"/>
    <mergeCell ref="D75:E75"/>
    <mergeCell ref="D76:E76"/>
    <mergeCell ref="D77:E77"/>
    <mergeCell ref="D79:E79"/>
    <mergeCell ref="D78:E78"/>
    <mergeCell ref="D68:E68"/>
    <mergeCell ref="G68:I68"/>
    <mergeCell ref="D69:E69"/>
    <mergeCell ref="G75:I75"/>
    <mergeCell ref="G80:I80"/>
    <mergeCell ref="P44:Q44"/>
    <mergeCell ref="G79:I79"/>
    <mergeCell ref="A29:Q32"/>
    <mergeCell ref="A34:Q37"/>
    <mergeCell ref="A57:B60"/>
    <mergeCell ref="C57:C60"/>
    <mergeCell ref="G78:I78"/>
    <mergeCell ref="A61:B67"/>
    <mergeCell ref="C61:C67"/>
    <mergeCell ref="D61:E61"/>
    <mergeCell ref="G61:I61"/>
    <mergeCell ref="D62:E62"/>
    <mergeCell ref="G62:I62"/>
    <mergeCell ref="D66:E66"/>
    <mergeCell ref="G66:I66"/>
    <mergeCell ref="D67:M67"/>
    <mergeCell ref="A68:B74"/>
    <mergeCell ref="G54:I54"/>
    <mergeCell ref="G55:I55"/>
    <mergeCell ref="G77:I77"/>
    <mergeCell ref="C68:C74"/>
    <mergeCell ref="A42:E42"/>
    <mergeCell ref="A39:Q39"/>
    <mergeCell ref="D63:E63"/>
    <mergeCell ref="G63:I63"/>
    <mergeCell ref="D71:E71"/>
    <mergeCell ref="G71:I71"/>
    <mergeCell ref="G59:I59"/>
    <mergeCell ref="G69:I69"/>
    <mergeCell ref="D73:E73"/>
    <mergeCell ref="G73:I73"/>
    <mergeCell ref="D74:M74"/>
    <mergeCell ref="D64:E64"/>
    <mergeCell ref="G64:I64"/>
    <mergeCell ref="D70:E70"/>
    <mergeCell ref="G70:I70"/>
  </mergeCells>
  <conditionalFormatting sqref="O106">
    <cfRule type="expression" dxfId="164" priority="66">
      <formula>O106&gt;C101</formula>
    </cfRule>
  </conditionalFormatting>
  <conditionalFormatting sqref="Q49 Q76 Q58:Q60 Q81:Q82 Q103:Q104 Q93:Q94 Q67 Q74">
    <cfRule type="expression" dxfId="163" priority="65">
      <formula>Q49&gt;N49</formula>
    </cfRule>
  </conditionalFormatting>
  <conditionalFormatting sqref="Q50 Q55:Q56">
    <cfRule type="expression" dxfId="162" priority="64">
      <formula>Q50&gt;N50</formula>
    </cfRule>
  </conditionalFormatting>
  <conditionalFormatting sqref="Q57">
    <cfRule type="expression" dxfId="161" priority="63">
      <formula>Q57&gt;N57</formula>
    </cfRule>
  </conditionalFormatting>
  <conditionalFormatting sqref="O82">
    <cfRule type="expression" dxfId="160" priority="61">
      <formula>O82&gt;C75</formula>
    </cfRule>
  </conditionalFormatting>
  <conditionalFormatting sqref="Q75">
    <cfRule type="expression" dxfId="159" priority="60">
      <formula>Q75&gt;N75</formula>
    </cfRule>
  </conditionalFormatting>
  <conditionalFormatting sqref="O60">
    <cfRule type="expression" dxfId="158" priority="59">
      <formula>O60&gt;C57</formula>
    </cfRule>
  </conditionalFormatting>
  <conditionalFormatting sqref="O90">
    <cfRule type="expression" dxfId="157" priority="58">
      <formula>O90&gt;C83</formula>
    </cfRule>
  </conditionalFormatting>
  <conditionalFormatting sqref="Q83">
    <cfRule type="expression" dxfId="156" priority="57">
      <formula>Q83&gt;N83</formula>
    </cfRule>
  </conditionalFormatting>
  <conditionalFormatting sqref="Q84 Q89:Q90">
    <cfRule type="expression" dxfId="155" priority="56">
      <formula>Q84&gt;N84</formula>
    </cfRule>
  </conditionalFormatting>
  <conditionalFormatting sqref="O100">
    <cfRule type="expression" dxfId="154" priority="55">
      <formula>O100&gt;C95</formula>
    </cfRule>
  </conditionalFormatting>
  <conditionalFormatting sqref="Q95">
    <cfRule type="expression" dxfId="153" priority="54">
      <formula>Q95&gt;N95</formula>
    </cfRule>
  </conditionalFormatting>
  <conditionalFormatting sqref="Q96 Q99:Q100">
    <cfRule type="expression" dxfId="152" priority="53">
      <formula>Q96&gt;N96</formula>
    </cfRule>
  </conditionalFormatting>
  <conditionalFormatting sqref="Q101">
    <cfRule type="expression" dxfId="151" priority="52">
      <formula>Q101&gt;N101</formula>
    </cfRule>
  </conditionalFormatting>
  <conditionalFormatting sqref="Q102 Q105:Q106">
    <cfRule type="expression" dxfId="150" priority="51">
      <formula>Q102&gt;N102</formula>
    </cfRule>
  </conditionalFormatting>
  <conditionalFormatting sqref="O56">
    <cfRule type="expression" dxfId="149" priority="67">
      <formula>O56&gt;C49</formula>
    </cfRule>
  </conditionalFormatting>
  <conditionalFormatting sqref="Q51:Q54">
    <cfRule type="expression" dxfId="148" priority="50">
      <formula>Q51&gt;N51</formula>
    </cfRule>
  </conditionalFormatting>
  <conditionalFormatting sqref="Q77 Q79">
    <cfRule type="expression" dxfId="147" priority="47">
      <formula>Q77&gt;N77</formula>
    </cfRule>
  </conditionalFormatting>
  <conditionalFormatting sqref="Q85:Q88">
    <cfRule type="expression" dxfId="146" priority="46">
      <formula>Q85&gt;N85</formula>
    </cfRule>
  </conditionalFormatting>
  <conditionalFormatting sqref="Q97:Q98">
    <cfRule type="expression" dxfId="145" priority="45">
      <formula>Q97&gt;N97</formula>
    </cfRule>
  </conditionalFormatting>
  <conditionalFormatting sqref="O94">
    <cfRule type="expression" dxfId="144" priority="44">
      <formula>O94&gt;C91</formula>
    </cfRule>
  </conditionalFormatting>
  <conditionalFormatting sqref="Q91">
    <cfRule type="expression" dxfId="143" priority="43">
      <formula>Q91&gt;N91</formula>
    </cfRule>
  </conditionalFormatting>
  <conditionalFormatting sqref="Q92">
    <cfRule type="expression" dxfId="142" priority="42">
      <formula>Q92&gt;N92</formula>
    </cfRule>
  </conditionalFormatting>
  <conditionalFormatting sqref="K101:L105 K95:L99 K91:L93 K83:L89 K75:L77 K57:L59 K49:L55 K79:L79 K81:L81">
    <cfRule type="expression" dxfId="141" priority="40">
      <formula>K49="No"</formula>
    </cfRule>
  </conditionalFormatting>
  <conditionalFormatting sqref="Q78">
    <cfRule type="expression" dxfId="140" priority="39">
      <formula>Q78&gt;N78</formula>
    </cfRule>
  </conditionalFormatting>
  <conditionalFormatting sqref="K78:L78">
    <cfRule type="expression" dxfId="139" priority="38">
      <formula>K78="No"</formula>
    </cfRule>
  </conditionalFormatting>
  <conditionalFormatting sqref="Q62">
    <cfRule type="expression" dxfId="138" priority="37">
      <formula>Q62&gt;N62</formula>
    </cfRule>
  </conditionalFormatting>
  <conditionalFormatting sqref="O67">
    <cfRule type="expression" dxfId="137" priority="36">
      <formula>O67&gt;C61</formula>
    </cfRule>
  </conditionalFormatting>
  <conditionalFormatting sqref="Q61">
    <cfRule type="expression" dxfId="136" priority="35">
      <formula>Q61&gt;N61</formula>
    </cfRule>
  </conditionalFormatting>
  <conditionalFormatting sqref="Q66">
    <cfRule type="expression" dxfId="135" priority="34">
      <formula>Q66&gt;N66</formula>
    </cfRule>
  </conditionalFormatting>
  <conditionalFormatting sqref="K61:L62 K66:L66">
    <cfRule type="expression" dxfId="134" priority="33">
      <formula>K61="No"</formula>
    </cfRule>
  </conditionalFormatting>
  <conditionalFormatting sqref="Q69">
    <cfRule type="expression" dxfId="133" priority="30">
      <formula>Q69&gt;N69</formula>
    </cfRule>
  </conditionalFormatting>
  <conditionalFormatting sqref="O74">
    <cfRule type="expression" dxfId="132" priority="29">
      <formula>O74&gt;C68</formula>
    </cfRule>
  </conditionalFormatting>
  <conditionalFormatting sqref="Q68">
    <cfRule type="expression" dxfId="131" priority="28">
      <formula>Q68&gt;N68</formula>
    </cfRule>
  </conditionalFormatting>
  <conditionalFormatting sqref="Q73">
    <cfRule type="expression" dxfId="130" priority="27">
      <formula>Q73&gt;N73</formula>
    </cfRule>
  </conditionalFormatting>
  <conditionalFormatting sqref="K68:L69 K73:L73">
    <cfRule type="expression" dxfId="129" priority="26">
      <formula>K68="No"</formula>
    </cfRule>
  </conditionalFormatting>
  <conditionalFormatting sqref="Q65">
    <cfRule type="expression" dxfId="128" priority="23">
      <formula>Q65&gt;N65</formula>
    </cfRule>
  </conditionalFormatting>
  <conditionalFormatting sqref="K65:L65">
    <cfRule type="expression" dxfId="127" priority="22">
      <formula>K65="No"</formula>
    </cfRule>
  </conditionalFormatting>
  <conditionalFormatting sqref="Q72">
    <cfRule type="expression" dxfId="126" priority="21">
      <formula>Q72&gt;N72</formula>
    </cfRule>
  </conditionalFormatting>
  <conditionalFormatting sqref="K72:L72">
    <cfRule type="expression" dxfId="125" priority="20">
      <formula>K72="No"</formula>
    </cfRule>
  </conditionalFormatting>
  <conditionalFormatting sqref="Q80">
    <cfRule type="expression" dxfId="124" priority="19">
      <formula>Q80&gt;N80</formula>
    </cfRule>
  </conditionalFormatting>
  <conditionalFormatting sqref="K80:L80">
    <cfRule type="expression" dxfId="123" priority="18">
      <formula>K80="No"</formula>
    </cfRule>
  </conditionalFormatting>
  <conditionalFormatting sqref="O115">
    <cfRule type="expression" dxfId="122" priority="17">
      <formula>O115&gt;C107</formula>
    </cfRule>
  </conditionalFormatting>
  <conditionalFormatting sqref="Q107">
    <cfRule type="expression" dxfId="121" priority="16">
      <formula>Q107&gt;N107</formula>
    </cfRule>
  </conditionalFormatting>
  <conditionalFormatting sqref="Q108 Q114:Q115">
    <cfRule type="expression" dxfId="120" priority="15">
      <formula>Q108&gt;N108</formula>
    </cfRule>
  </conditionalFormatting>
  <conditionalFormatting sqref="Q109:Q111 Q113">
    <cfRule type="expression" dxfId="119" priority="14">
      <formula>Q109&gt;N109</formula>
    </cfRule>
  </conditionalFormatting>
  <conditionalFormatting sqref="L107:L111 L113:L114">
    <cfRule type="expression" dxfId="118" priority="12">
      <formula>L107="No"</formula>
    </cfRule>
  </conditionalFormatting>
  <conditionalFormatting sqref="K107:K111 K113:K114">
    <cfRule type="expression" dxfId="117" priority="13">
      <formula>K107="No"</formula>
    </cfRule>
  </conditionalFormatting>
  <conditionalFormatting sqref="Q112">
    <cfRule type="expression" dxfId="116" priority="11">
      <formula>Q112&gt;N112</formula>
    </cfRule>
  </conditionalFormatting>
  <conditionalFormatting sqref="L112">
    <cfRule type="expression" dxfId="115" priority="9">
      <formula>L112="No"</formula>
    </cfRule>
  </conditionalFormatting>
  <conditionalFormatting sqref="K112">
    <cfRule type="expression" dxfId="114" priority="10">
      <formula>K112="No"</formula>
    </cfRule>
  </conditionalFormatting>
  <conditionalFormatting sqref="Q63">
    <cfRule type="expression" dxfId="113" priority="8">
      <formula>Q63&gt;N63</formula>
    </cfRule>
  </conditionalFormatting>
  <conditionalFormatting sqref="K63:L63">
    <cfRule type="expression" dxfId="112" priority="7">
      <formula>K63="No"</formula>
    </cfRule>
  </conditionalFormatting>
  <conditionalFormatting sqref="Q71">
    <cfRule type="expression" dxfId="111" priority="6">
      <formula>Q71&gt;N71</formula>
    </cfRule>
  </conditionalFormatting>
  <conditionalFormatting sqref="K71:L71">
    <cfRule type="expression" dxfId="110" priority="5">
      <formula>K71="No"</formula>
    </cfRule>
  </conditionalFormatting>
  <conditionalFormatting sqref="Q64">
    <cfRule type="expression" dxfId="109" priority="4">
      <formula>Q64&gt;N64</formula>
    </cfRule>
  </conditionalFormatting>
  <conditionalFormatting sqref="K64:L64">
    <cfRule type="expression" dxfId="108" priority="3">
      <formula>K64="No"</formula>
    </cfRule>
  </conditionalFormatting>
  <conditionalFormatting sqref="Q70">
    <cfRule type="expression" dxfId="107" priority="2">
      <formula>Q70&gt;N70</formula>
    </cfRule>
  </conditionalFormatting>
  <conditionalFormatting sqref="K70:L70">
    <cfRule type="expression" dxfId="106" priority="1">
      <formula>K70="No"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4" manualBreakCount="4">
    <brk id="82" max="16" man="1"/>
    <brk id="9" max="16383" man="1"/>
    <brk id="27" max="16383" man="1"/>
    <brk id="116"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Tables!$C$3:$C$22</xm:f>
          </x14:formula1>
          <xm:sqref>M49:M55 M91:M93 M83:M89 M57:M59 M95:M99 M101:M105 M61:M66 M107:M114 M75:M81 M68:M73</xm:sqref>
        </x14:dataValidation>
        <x14:dataValidation type="list" allowBlank="1" showInputMessage="1" showErrorMessage="1" xr:uid="{00000000-0002-0000-0400-000001000000}">
          <x14:formula1>
            <xm:f>Tables!$Q$2:$Q$7</xm:f>
          </x14:formula1>
          <xm:sqref>C7</xm:sqref>
        </x14:dataValidation>
        <x14:dataValidation type="list" allowBlank="1" showInputMessage="1" showErrorMessage="1" xr:uid="{00000000-0002-0000-0400-000002000000}">
          <x14:formula1>
            <xm:f>Tables!$O$21:$O$23</xm:f>
          </x14:formula1>
          <xm:sqref>K49:K55 K57:K59 K101:K105 K83:K89 K91:K93 K95:K99 K61:K66 K107:K114 K75:K81 K68:K73</xm:sqref>
        </x14:dataValidation>
        <x14:dataValidation type="list" allowBlank="1" showInputMessage="1" showErrorMessage="1" xr:uid="{00000000-0002-0000-0400-000003000000}">
          <x14:formula1>
            <xm:f>Tables!$Q$21:$Q$23</xm:f>
          </x14:formula1>
          <xm:sqref>L49:L55 L57:L59 L101:L105 L83:L89 L91:L93 L95:L99 L61:L66 L107:L114 L75:L81 L68:L73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Q99"/>
  <sheetViews>
    <sheetView topLeftCell="A25" zoomScaleNormal="100" workbookViewId="0">
      <selection activeCell="G53" sqref="G53:I53"/>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JUNIOR HIGH SCHOOL EXTRACURRICULAR STIPEND PAYMENT REQUEST")</f>
        <v>2023-2024 JUNIOR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192</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8"/>
      <c r="Q7" s="157"/>
    </row>
    <row r="8" spans="1:17" ht="19.95" customHeight="1" x14ac:dyDescent="0.3">
      <c r="A8" s="133"/>
      <c r="B8" s="17" t="s">
        <v>163</v>
      </c>
      <c r="C8" s="474"/>
      <c r="D8" s="474"/>
      <c r="E8" s="474"/>
      <c r="F8" s="474"/>
      <c r="G8" s="19"/>
      <c r="H8" s="19"/>
      <c r="I8" s="19"/>
      <c r="J8" s="19"/>
      <c r="K8" s="18"/>
      <c r="L8" s="18"/>
      <c r="M8" s="18"/>
      <c r="N8" s="17" t="s">
        <v>72</v>
      </c>
      <c r="O8" s="469" t="s">
        <v>155</v>
      </c>
      <c r="P8" s="470"/>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Cross Country - Boys</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+A57</f>
        <v>Cross Country - Girls</v>
      </c>
      <c r="B13" s="201"/>
      <c r="C13" s="201"/>
      <c r="D13" s="190">
        <f>+P64</f>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t="str">
        <f>+A65</f>
        <v>Tennis - Girls</v>
      </c>
      <c r="B14" s="201"/>
      <c r="C14" s="201"/>
      <c r="D14" s="193">
        <f>+P72</f>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00"/>
      <c r="B15" s="201"/>
      <c r="C15" s="201"/>
      <c r="D15" s="193">
        <f>+P72</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203</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452" t="s">
        <v>16</v>
      </c>
      <c r="B49" s="453"/>
      <c r="C49" s="207">
        <f>+'JHS - Positions and Funding'!B12</f>
        <v>800</v>
      </c>
      <c r="D49" s="446" t="s">
        <v>57</v>
      </c>
      <c r="E49" s="446"/>
      <c r="F49" s="168" t="s">
        <v>79</v>
      </c>
      <c r="G49" s="451"/>
      <c r="H49" s="451"/>
      <c r="I49" s="451"/>
      <c r="J49" s="169"/>
      <c r="K49" s="170"/>
      <c r="L49" s="170"/>
      <c r="M49" s="208" t="s">
        <v>79</v>
      </c>
      <c r="N49" s="209">
        <f>IF(C49&gt;0,C49,0)</f>
        <v>800</v>
      </c>
      <c r="O49" s="172">
        <v>0</v>
      </c>
      <c r="P49" s="210" t="s">
        <v>79</v>
      </c>
      <c r="Q49" s="173">
        <f>SUM(O49:P49)</f>
        <v>0</v>
      </c>
    </row>
    <row r="50" spans="1:17" ht="19.95" customHeight="1" x14ac:dyDescent="0.25">
      <c r="A50" s="454"/>
      <c r="B50" s="455"/>
      <c r="C50" s="211">
        <f>+'JHS - Positions and Funding'!B13</f>
        <v>575</v>
      </c>
      <c r="D50" s="445" t="s">
        <v>56</v>
      </c>
      <c r="E50" s="445"/>
      <c r="F50" s="174" t="s">
        <v>79</v>
      </c>
      <c r="G50" s="450"/>
      <c r="H50" s="450"/>
      <c r="I50" s="450"/>
      <c r="J50" s="175"/>
      <c r="K50" s="175"/>
      <c r="L50" s="175"/>
      <c r="M50" s="212" t="s">
        <v>79</v>
      </c>
      <c r="N50" s="176">
        <f>IF(C50&gt;0,C50,0)</f>
        <v>575</v>
      </c>
      <c r="O50" s="177">
        <v>0</v>
      </c>
      <c r="P50" s="213" t="s">
        <v>79</v>
      </c>
      <c r="Q50" s="178">
        <f t="shared" ref="Q50:Q56" si="2">SUM(O50:P50)</f>
        <v>0</v>
      </c>
    </row>
    <row r="51" spans="1:17" ht="19.95" customHeight="1" x14ac:dyDescent="0.25">
      <c r="A51" s="454"/>
      <c r="B51" s="455"/>
      <c r="C51" s="214">
        <v>0</v>
      </c>
      <c r="D51" s="445" t="s">
        <v>56</v>
      </c>
      <c r="E51" s="445"/>
      <c r="F51" s="174" t="s">
        <v>79</v>
      </c>
      <c r="G51" s="450"/>
      <c r="H51" s="450"/>
      <c r="I51" s="450"/>
      <c r="J51" s="175"/>
      <c r="K51" s="175"/>
      <c r="L51" s="175"/>
      <c r="M51" s="212" t="s">
        <v>79</v>
      </c>
      <c r="N51" s="176">
        <f>IF(C50&gt;0,C50,0)</f>
        <v>575</v>
      </c>
      <c r="O51" s="212" t="s">
        <v>79</v>
      </c>
      <c r="P51" s="177">
        <v>0</v>
      </c>
      <c r="Q51" s="178">
        <f>+P51</f>
        <v>0</v>
      </c>
    </row>
    <row r="52" spans="1:17" ht="19.95" customHeight="1" x14ac:dyDescent="0.25">
      <c r="A52" s="454"/>
      <c r="B52" s="455"/>
      <c r="C52" s="214">
        <v>0</v>
      </c>
      <c r="D52" s="445" t="s">
        <v>56</v>
      </c>
      <c r="E52" s="445"/>
      <c r="F52" s="174" t="s">
        <v>79</v>
      </c>
      <c r="G52" s="450"/>
      <c r="H52" s="450"/>
      <c r="I52" s="450"/>
      <c r="J52" s="175"/>
      <c r="K52" s="175"/>
      <c r="L52" s="175"/>
      <c r="M52" s="212" t="s">
        <v>79</v>
      </c>
      <c r="N52" s="176">
        <f>IF(C50&gt;0,C50,0)</f>
        <v>575</v>
      </c>
      <c r="O52" s="212" t="s">
        <v>79</v>
      </c>
      <c r="P52" s="177">
        <v>0</v>
      </c>
      <c r="Q52" s="178">
        <f t="shared" ref="Q52:Q55" si="3">+P52</f>
        <v>0</v>
      </c>
    </row>
    <row r="53" spans="1:17" ht="19.95" customHeight="1" x14ac:dyDescent="0.25">
      <c r="A53" s="454"/>
      <c r="B53" s="455"/>
      <c r="C53" s="214">
        <v>0</v>
      </c>
      <c r="D53" s="445" t="s">
        <v>56</v>
      </c>
      <c r="E53" s="445"/>
      <c r="F53" s="174" t="s">
        <v>79</v>
      </c>
      <c r="G53" s="450"/>
      <c r="H53" s="450"/>
      <c r="I53" s="450"/>
      <c r="J53" s="175"/>
      <c r="K53" s="175"/>
      <c r="L53" s="175"/>
      <c r="M53" s="212" t="s">
        <v>79</v>
      </c>
      <c r="N53" s="176">
        <f>IF(C50&gt;0,C50,0)</f>
        <v>575</v>
      </c>
      <c r="O53" s="212" t="s">
        <v>79</v>
      </c>
      <c r="P53" s="177">
        <v>0</v>
      </c>
      <c r="Q53" s="178">
        <f t="shared" si="3"/>
        <v>0</v>
      </c>
    </row>
    <row r="54" spans="1:17" ht="19.95" customHeight="1" x14ac:dyDescent="0.25">
      <c r="A54" s="454"/>
      <c r="B54" s="455"/>
      <c r="C54" s="214">
        <v>0</v>
      </c>
      <c r="D54" s="445" t="s">
        <v>56</v>
      </c>
      <c r="E54" s="445"/>
      <c r="F54" s="174" t="s">
        <v>79</v>
      </c>
      <c r="G54" s="450"/>
      <c r="H54" s="450"/>
      <c r="I54" s="450"/>
      <c r="J54" s="175"/>
      <c r="K54" s="175"/>
      <c r="L54" s="175"/>
      <c r="M54" s="212" t="s">
        <v>79</v>
      </c>
      <c r="N54" s="176">
        <f>IF(C50&gt;0,C50,0)</f>
        <v>575</v>
      </c>
      <c r="O54" s="212" t="s">
        <v>79</v>
      </c>
      <c r="P54" s="177">
        <v>0</v>
      </c>
      <c r="Q54" s="178">
        <f t="shared" si="3"/>
        <v>0</v>
      </c>
    </row>
    <row r="55" spans="1:17" ht="19.95" customHeight="1" x14ac:dyDescent="0.25">
      <c r="A55" s="454"/>
      <c r="B55" s="455"/>
      <c r="C55" s="214">
        <v>0</v>
      </c>
      <c r="D55" s="445" t="s">
        <v>56</v>
      </c>
      <c r="E55" s="445"/>
      <c r="F55" s="174" t="s">
        <v>79</v>
      </c>
      <c r="G55" s="450"/>
      <c r="H55" s="450"/>
      <c r="I55" s="450"/>
      <c r="J55" s="175"/>
      <c r="K55" s="175"/>
      <c r="L55" s="175"/>
      <c r="M55" s="212" t="s">
        <v>79</v>
      </c>
      <c r="N55" s="176">
        <f>IF(C50&gt;0,C50,0)</f>
        <v>575</v>
      </c>
      <c r="O55" s="212" t="s">
        <v>79</v>
      </c>
      <c r="P55" s="177">
        <v>0</v>
      </c>
      <c r="Q55" s="178">
        <f t="shared" si="3"/>
        <v>0</v>
      </c>
    </row>
    <row r="56" spans="1:17" s="142" customFormat="1" ht="19.95" customHeight="1" thickBot="1" x14ac:dyDescent="0.35">
      <c r="A56" s="456"/>
      <c r="B56" s="457"/>
      <c r="C56" s="215"/>
      <c r="D56" s="448" t="str">
        <f>CONCATENATE(A49," Totals")</f>
        <v>Cross Country - Boys Totals</v>
      </c>
      <c r="E56" s="448"/>
      <c r="F56" s="448"/>
      <c r="G56" s="448"/>
      <c r="H56" s="448"/>
      <c r="I56" s="448"/>
      <c r="J56" s="448"/>
      <c r="K56" s="448"/>
      <c r="L56" s="448"/>
      <c r="M56" s="449"/>
      <c r="N56" s="216">
        <f>SUM(N49:N55)</f>
        <v>4250</v>
      </c>
      <c r="O56" s="180">
        <f>SUM(O49:O55)</f>
        <v>0</v>
      </c>
      <c r="P56" s="180">
        <f>SUM(P49:P55)</f>
        <v>0</v>
      </c>
      <c r="Q56" s="181">
        <f t="shared" si="2"/>
        <v>0</v>
      </c>
    </row>
    <row r="57" spans="1:17" ht="19.95" customHeight="1" x14ac:dyDescent="0.25">
      <c r="A57" s="452" t="s">
        <v>17</v>
      </c>
      <c r="B57" s="453"/>
      <c r="C57" s="207">
        <f>+'JHS - Positions and Funding'!B14</f>
        <v>800</v>
      </c>
      <c r="D57" s="446" t="s">
        <v>57</v>
      </c>
      <c r="E57" s="446"/>
      <c r="F57" s="168" t="s">
        <v>79</v>
      </c>
      <c r="G57" s="451"/>
      <c r="H57" s="451"/>
      <c r="I57" s="451"/>
      <c r="J57" s="169"/>
      <c r="K57" s="170"/>
      <c r="L57" s="170"/>
      <c r="M57" s="208" t="s">
        <v>79</v>
      </c>
      <c r="N57" s="209">
        <f>IF(C57&gt;0,C57,0)</f>
        <v>800</v>
      </c>
      <c r="O57" s="172">
        <v>0</v>
      </c>
      <c r="P57" s="210" t="s">
        <v>79</v>
      </c>
      <c r="Q57" s="173">
        <f>SUM(O57:P57)</f>
        <v>0</v>
      </c>
    </row>
    <row r="58" spans="1:17" ht="19.95" customHeight="1" x14ac:dyDescent="0.25">
      <c r="A58" s="454"/>
      <c r="B58" s="455"/>
      <c r="C58" s="211">
        <f>+'JHS - Positions and Funding'!B15</f>
        <v>575</v>
      </c>
      <c r="D58" s="445" t="s">
        <v>56</v>
      </c>
      <c r="E58" s="445"/>
      <c r="F58" s="174" t="s">
        <v>79</v>
      </c>
      <c r="G58" s="450"/>
      <c r="H58" s="450"/>
      <c r="I58" s="450"/>
      <c r="J58" s="175"/>
      <c r="K58" s="175"/>
      <c r="L58" s="175"/>
      <c r="M58" s="212" t="s">
        <v>79</v>
      </c>
      <c r="N58" s="176">
        <f>IF(C58&gt;0,C58,0)</f>
        <v>575</v>
      </c>
      <c r="O58" s="177">
        <v>0</v>
      </c>
      <c r="P58" s="213" t="s">
        <v>79</v>
      </c>
      <c r="Q58" s="178">
        <f t="shared" ref="Q58" si="4">SUM(O58:P58)</f>
        <v>0</v>
      </c>
    </row>
    <row r="59" spans="1:17" ht="19.95" customHeight="1" x14ac:dyDescent="0.25">
      <c r="A59" s="454"/>
      <c r="B59" s="455"/>
      <c r="C59" s="214">
        <v>0</v>
      </c>
      <c r="D59" s="445" t="s">
        <v>56</v>
      </c>
      <c r="E59" s="445"/>
      <c r="F59" s="174" t="s">
        <v>79</v>
      </c>
      <c r="G59" s="450"/>
      <c r="H59" s="450"/>
      <c r="I59" s="450"/>
      <c r="J59" s="175"/>
      <c r="K59" s="175"/>
      <c r="L59" s="175"/>
      <c r="M59" s="212" t="s">
        <v>79</v>
      </c>
      <c r="N59" s="176">
        <f>IF(C58&gt;0,C58,0)</f>
        <v>575</v>
      </c>
      <c r="O59" s="212" t="s">
        <v>79</v>
      </c>
      <c r="P59" s="177">
        <v>0</v>
      </c>
      <c r="Q59" s="178">
        <f>+P59</f>
        <v>0</v>
      </c>
    </row>
    <row r="60" spans="1:17" ht="19.95" customHeight="1" x14ac:dyDescent="0.25">
      <c r="A60" s="454"/>
      <c r="B60" s="455"/>
      <c r="C60" s="214">
        <v>0</v>
      </c>
      <c r="D60" s="445" t="s">
        <v>56</v>
      </c>
      <c r="E60" s="445"/>
      <c r="F60" s="174" t="s">
        <v>79</v>
      </c>
      <c r="G60" s="450"/>
      <c r="H60" s="450"/>
      <c r="I60" s="450"/>
      <c r="J60" s="175"/>
      <c r="K60" s="175"/>
      <c r="L60" s="175"/>
      <c r="M60" s="212" t="s">
        <v>79</v>
      </c>
      <c r="N60" s="176">
        <f>IF(C58&gt;0,C58,0)</f>
        <v>575</v>
      </c>
      <c r="O60" s="212" t="s">
        <v>79</v>
      </c>
      <c r="P60" s="177">
        <v>0</v>
      </c>
      <c r="Q60" s="178">
        <f t="shared" ref="Q60:Q63" si="5">+P60</f>
        <v>0</v>
      </c>
    </row>
    <row r="61" spans="1:17" ht="19.95" customHeight="1" x14ac:dyDescent="0.25">
      <c r="A61" s="454"/>
      <c r="B61" s="455"/>
      <c r="C61" s="214">
        <v>0</v>
      </c>
      <c r="D61" s="445" t="s">
        <v>56</v>
      </c>
      <c r="E61" s="445"/>
      <c r="F61" s="174" t="s">
        <v>79</v>
      </c>
      <c r="G61" s="450"/>
      <c r="H61" s="450"/>
      <c r="I61" s="450"/>
      <c r="J61" s="175"/>
      <c r="K61" s="175"/>
      <c r="L61" s="175"/>
      <c r="M61" s="212" t="s">
        <v>79</v>
      </c>
      <c r="N61" s="176">
        <f>IF(C58&gt;0,C58,0)</f>
        <v>575</v>
      </c>
      <c r="O61" s="212" t="s">
        <v>79</v>
      </c>
      <c r="P61" s="177">
        <v>0</v>
      </c>
      <c r="Q61" s="178">
        <f t="shared" si="5"/>
        <v>0</v>
      </c>
    </row>
    <row r="62" spans="1:17" ht="19.95" customHeight="1" x14ac:dyDescent="0.25">
      <c r="A62" s="454"/>
      <c r="B62" s="455"/>
      <c r="C62" s="214">
        <v>0</v>
      </c>
      <c r="D62" s="445" t="s">
        <v>56</v>
      </c>
      <c r="E62" s="445"/>
      <c r="F62" s="174" t="s">
        <v>79</v>
      </c>
      <c r="G62" s="450"/>
      <c r="H62" s="450"/>
      <c r="I62" s="450"/>
      <c r="J62" s="175"/>
      <c r="K62" s="175"/>
      <c r="L62" s="175"/>
      <c r="M62" s="212" t="s">
        <v>79</v>
      </c>
      <c r="N62" s="176">
        <f>IF(C58&gt;0,C58,0)</f>
        <v>575</v>
      </c>
      <c r="O62" s="212" t="s">
        <v>79</v>
      </c>
      <c r="P62" s="177">
        <v>0</v>
      </c>
      <c r="Q62" s="178">
        <f t="shared" si="5"/>
        <v>0</v>
      </c>
    </row>
    <row r="63" spans="1:17" ht="19.95" customHeight="1" x14ac:dyDescent="0.25">
      <c r="A63" s="454"/>
      <c r="B63" s="455"/>
      <c r="C63" s="214">
        <v>0</v>
      </c>
      <c r="D63" s="445" t="s">
        <v>56</v>
      </c>
      <c r="E63" s="445"/>
      <c r="F63" s="174" t="s">
        <v>79</v>
      </c>
      <c r="G63" s="450"/>
      <c r="H63" s="450"/>
      <c r="I63" s="450"/>
      <c r="J63" s="175"/>
      <c r="K63" s="175"/>
      <c r="L63" s="175"/>
      <c r="M63" s="212" t="s">
        <v>79</v>
      </c>
      <c r="N63" s="176">
        <f>IF(C58&gt;0,C58,0)</f>
        <v>575</v>
      </c>
      <c r="O63" s="212" t="s">
        <v>79</v>
      </c>
      <c r="P63" s="177">
        <v>0</v>
      </c>
      <c r="Q63" s="178">
        <f t="shared" si="5"/>
        <v>0</v>
      </c>
    </row>
    <row r="64" spans="1:17" s="143" customFormat="1" ht="19.95" customHeight="1" thickBot="1" x14ac:dyDescent="0.35">
      <c r="A64" s="456"/>
      <c r="B64" s="457"/>
      <c r="C64" s="215"/>
      <c r="D64" s="448" t="str">
        <f>CONCATENATE(A57," Totals")</f>
        <v>Cross Country - Girls Totals</v>
      </c>
      <c r="E64" s="448"/>
      <c r="F64" s="448"/>
      <c r="G64" s="448"/>
      <c r="H64" s="448"/>
      <c r="I64" s="448"/>
      <c r="J64" s="448"/>
      <c r="K64" s="448"/>
      <c r="L64" s="448"/>
      <c r="M64" s="449"/>
      <c r="N64" s="216">
        <f>SUM(N57:N63)</f>
        <v>4250</v>
      </c>
      <c r="O64" s="180">
        <f>SUM(O57:O63)</f>
        <v>0</v>
      </c>
      <c r="P64" s="180">
        <f>SUM(P57:P63)</f>
        <v>0</v>
      </c>
      <c r="Q64" s="181">
        <f t="shared" ref="Q64" si="6">SUM(O64:P64)</f>
        <v>0</v>
      </c>
    </row>
    <row r="65" spans="1:17" ht="19.95" customHeight="1" x14ac:dyDescent="0.25">
      <c r="A65" s="452" t="s">
        <v>15</v>
      </c>
      <c r="B65" s="453"/>
      <c r="C65" s="207">
        <f>+'JHS - Positions and Funding'!B24</f>
        <v>800</v>
      </c>
      <c r="D65" s="446" t="s">
        <v>57</v>
      </c>
      <c r="E65" s="446"/>
      <c r="F65" s="168" t="s">
        <v>79</v>
      </c>
      <c r="G65" s="451"/>
      <c r="H65" s="451"/>
      <c r="I65" s="451"/>
      <c r="J65" s="169"/>
      <c r="K65" s="169"/>
      <c r="L65" s="169"/>
      <c r="M65" s="208" t="s">
        <v>79</v>
      </c>
      <c r="N65" s="209">
        <f>IF(C65&gt;0,C65,0)</f>
        <v>800</v>
      </c>
      <c r="O65" s="172">
        <v>0</v>
      </c>
      <c r="P65" s="210" t="s">
        <v>79</v>
      </c>
      <c r="Q65" s="173">
        <f>SUM(O65:P65)</f>
        <v>0</v>
      </c>
    </row>
    <row r="66" spans="1:17" ht="19.95" customHeight="1" x14ac:dyDescent="0.25">
      <c r="A66" s="454"/>
      <c r="B66" s="455"/>
      <c r="C66" s="211">
        <f>+'JHS - Positions and Funding'!B25</f>
        <v>575</v>
      </c>
      <c r="D66" s="445" t="s">
        <v>56</v>
      </c>
      <c r="E66" s="445"/>
      <c r="F66" s="174" t="s">
        <v>79</v>
      </c>
      <c r="G66" s="450"/>
      <c r="H66" s="450"/>
      <c r="I66" s="450"/>
      <c r="J66" s="175"/>
      <c r="K66" s="175"/>
      <c r="L66" s="175"/>
      <c r="M66" s="212" t="s">
        <v>79</v>
      </c>
      <c r="N66" s="176">
        <f>IF(C66&gt;0,C66,0)</f>
        <v>575</v>
      </c>
      <c r="O66" s="177">
        <v>0</v>
      </c>
      <c r="P66" s="213" t="s">
        <v>79</v>
      </c>
      <c r="Q66" s="178">
        <f t="shared" ref="Q66" si="7">SUM(O66:P66)</f>
        <v>0</v>
      </c>
    </row>
    <row r="67" spans="1:17" ht="19.95" customHeight="1" x14ac:dyDescent="0.25">
      <c r="A67" s="454"/>
      <c r="B67" s="455"/>
      <c r="C67" s="214">
        <v>0</v>
      </c>
      <c r="D67" s="445" t="s">
        <v>56</v>
      </c>
      <c r="E67" s="445"/>
      <c r="F67" s="174" t="s">
        <v>79</v>
      </c>
      <c r="G67" s="450"/>
      <c r="H67" s="450"/>
      <c r="I67" s="450"/>
      <c r="J67" s="175"/>
      <c r="K67" s="175"/>
      <c r="L67" s="175"/>
      <c r="M67" s="212" t="s">
        <v>79</v>
      </c>
      <c r="N67" s="176">
        <f>IF(C66&gt;0,C66,0)</f>
        <v>575</v>
      </c>
      <c r="O67" s="212" t="s">
        <v>79</v>
      </c>
      <c r="P67" s="177">
        <v>0</v>
      </c>
      <c r="Q67" s="178">
        <f>+P67</f>
        <v>0</v>
      </c>
    </row>
    <row r="68" spans="1:17" ht="19.95" customHeight="1" x14ac:dyDescent="0.25">
      <c r="A68" s="454"/>
      <c r="B68" s="455"/>
      <c r="C68" s="214">
        <v>0</v>
      </c>
      <c r="D68" s="445" t="s">
        <v>56</v>
      </c>
      <c r="E68" s="445"/>
      <c r="F68" s="174" t="s">
        <v>79</v>
      </c>
      <c r="G68" s="450"/>
      <c r="H68" s="450"/>
      <c r="I68" s="450"/>
      <c r="J68" s="175"/>
      <c r="K68" s="175"/>
      <c r="L68" s="175"/>
      <c r="M68" s="212" t="s">
        <v>79</v>
      </c>
      <c r="N68" s="176">
        <f>IF(C66&gt;0,C66,0)</f>
        <v>575</v>
      </c>
      <c r="O68" s="212" t="s">
        <v>79</v>
      </c>
      <c r="P68" s="177">
        <v>0</v>
      </c>
      <c r="Q68" s="178">
        <f t="shared" ref="Q68:Q71" si="8">+P68</f>
        <v>0</v>
      </c>
    </row>
    <row r="69" spans="1:17" ht="19.95" customHeight="1" x14ac:dyDescent="0.25">
      <c r="A69" s="454"/>
      <c r="B69" s="455"/>
      <c r="C69" s="214">
        <v>0</v>
      </c>
      <c r="D69" s="445" t="s">
        <v>56</v>
      </c>
      <c r="E69" s="445"/>
      <c r="F69" s="174" t="s">
        <v>79</v>
      </c>
      <c r="G69" s="450"/>
      <c r="H69" s="450"/>
      <c r="I69" s="450"/>
      <c r="J69" s="175"/>
      <c r="K69" s="175"/>
      <c r="L69" s="175"/>
      <c r="M69" s="212" t="s">
        <v>79</v>
      </c>
      <c r="N69" s="176">
        <f>IF(C66&gt;0,C66,0)</f>
        <v>575</v>
      </c>
      <c r="O69" s="212" t="s">
        <v>79</v>
      </c>
      <c r="P69" s="177">
        <v>0</v>
      </c>
      <c r="Q69" s="178">
        <f t="shared" si="8"/>
        <v>0</v>
      </c>
    </row>
    <row r="70" spans="1:17" ht="19.95" customHeight="1" x14ac:dyDescent="0.25">
      <c r="A70" s="454"/>
      <c r="B70" s="455"/>
      <c r="C70" s="214">
        <v>0</v>
      </c>
      <c r="D70" s="445" t="s">
        <v>56</v>
      </c>
      <c r="E70" s="445"/>
      <c r="F70" s="174" t="s">
        <v>79</v>
      </c>
      <c r="G70" s="450"/>
      <c r="H70" s="450"/>
      <c r="I70" s="450"/>
      <c r="J70" s="175"/>
      <c r="K70" s="175"/>
      <c r="L70" s="175"/>
      <c r="M70" s="212" t="s">
        <v>79</v>
      </c>
      <c r="N70" s="176">
        <f>IF(C66&gt;0,C66,0)</f>
        <v>575</v>
      </c>
      <c r="O70" s="212" t="s">
        <v>79</v>
      </c>
      <c r="P70" s="177">
        <v>0</v>
      </c>
      <c r="Q70" s="178">
        <f t="shared" si="8"/>
        <v>0</v>
      </c>
    </row>
    <row r="71" spans="1:17" ht="19.95" customHeight="1" x14ac:dyDescent="0.25">
      <c r="A71" s="454"/>
      <c r="B71" s="455"/>
      <c r="C71" s="214">
        <v>0</v>
      </c>
      <c r="D71" s="445" t="s">
        <v>56</v>
      </c>
      <c r="E71" s="445"/>
      <c r="F71" s="174" t="s">
        <v>79</v>
      </c>
      <c r="G71" s="450"/>
      <c r="H71" s="450"/>
      <c r="I71" s="450"/>
      <c r="J71" s="175"/>
      <c r="K71" s="175"/>
      <c r="L71" s="175"/>
      <c r="M71" s="212" t="s">
        <v>79</v>
      </c>
      <c r="N71" s="176">
        <f>IF(C66&gt;0,C66,0)</f>
        <v>575</v>
      </c>
      <c r="O71" s="212" t="s">
        <v>79</v>
      </c>
      <c r="P71" s="177">
        <v>0</v>
      </c>
      <c r="Q71" s="178">
        <f t="shared" si="8"/>
        <v>0</v>
      </c>
    </row>
    <row r="72" spans="1:17" s="143" customFormat="1" ht="19.95" customHeight="1" thickBot="1" x14ac:dyDescent="0.35">
      <c r="A72" s="456"/>
      <c r="B72" s="457"/>
      <c r="C72" s="220"/>
      <c r="D72" s="448" t="str">
        <f>CONCATENATE(A65," Totals")</f>
        <v>Tennis - Girls Totals</v>
      </c>
      <c r="E72" s="448"/>
      <c r="F72" s="448"/>
      <c r="G72" s="448"/>
      <c r="H72" s="448"/>
      <c r="I72" s="448"/>
      <c r="J72" s="448"/>
      <c r="K72" s="448"/>
      <c r="L72" s="448"/>
      <c r="M72" s="449"/>
      <c r="N72" s="216">
        <f>SUM(N65:N71)</f>
        <v>4250</v>
      </c>
      <c r="O72" s="180">
        <f>SUM(O65:O71)</f>
        <v>0</v>
      </c>
      <c r="P72" s="180">
        <f>SUM(P65:P71)</f>
        <v>0</v>
      </c>
      <c r="Q72" s="181">
        <f t="shared" ref="Q72" si="9">SUM(O72:P72)</f>
        <v>0</v>
      </c>
    </row>
    <row r="73" spans="1:17" s="142" customFormat="1" ht="19.95" customHeight="1" thickBot="1" x14ac:dyDescent="0.35">
      <c r="A73" s="182"/>
      <c r="B73" s="183"/>
      <c r="C73" s="183"/>
      <c r="D73" s="183"/>
      <c r="E73" s="183"/>
      <c r="F73" s="197"/>
      <c r="G73" s="183"/>
      <c r="H73" s="183"/>
      <c r="I73" s="183"/>
      <c r="J73" s="183"/>
      <c r="K73" s="183"/>
      <c r="L73" s="183"/>
      <c r="M73" s="184" t="s">
        <v>134</v>
      </c>
      <c r="N73" s="185">
        <f>+N56+N64+N72</f>
        <v>12750</v>
      </c>
      <c r="O73" s="185">
        <f>+O56+O64+O72</f>
        <v>0</v>
      </c>
      <c r="P73" s="185">
        <f>+P56+P64+P72</f>
        <v>0</v>
      </c>
      <c r="Q73" s="186">
        <f>+Q56+Q64+Q72</f>
        <v>0</v>
      </c>
    </row>
    <row r="74" spans="1:17" ht="12.75" customHeight="1" x14ac:dyDescent="0.25">
      <c r="A74" s="152" t="s">
        <v>178</v>
      </c>
      <c r="B74" s="11"/>
      <c r="C74" s="11"/>
      <c r="D74" s="11"/>
      <c r="E74" s="11"/>
      <c r="F74" s="11"/>
      <c r="G74" s="11"/>
      <c r="H74" s="11"/>
      <c r="I74" s="11"/>
      <c r="J74" s="11"/>
      <c r="K74" s="11"/>
      <c r="L74" s="11"/>
      <c r="M74" s="11"/>
      <c r="N74" s="11"/>
      <c r="O74" s="11"/>
      <c r="P74" s="11"/>
      <c r="Q74" s="132"/>
    </row>
    <row r="75" spans="1:17" ht="12.75" customHeight="1" x14ac:dyDescent="0.25">
      <c r="A75" s="153" t="s">
        <v>170</v>
      </c>
      <c r="B75" s="19"/>
      <c r="C75" s="19"/>
      <c r="D75" s="19"/>
      <c r="E75" s="19"/>
      <c r="F75" s="19"/>
      <c r="G75" s="19"/>
      <c r="H75" s="19"/>
      <c r="I75" s="19"/>
      <c r="J75" s="19"/>
      <c r="K75" s="19"/>
      <c r="L75" s="19"/>
      <c r="M75" s="19"/>
      <c r="N75" s="19"/>
      <c r="O75" s="19"/>
      <c r="P75" s="19"/>
      <c r="Q75" s="29"/>
    </row>
    <row r="76" spans="1:17" ht="12.75" customHeight="1" x14ac:dyDescent="0.25">
      <c r="A76" s="154" t="s">
        <v>179</v>
      </c>
      <c r="B76" s="19"/>
      <c r="C76" s="19"/>
      <c r="D76" s="19"/>
      <c r="E76" s="19"/>
      <c r="F76" s="19"/>
      <c r="G76" s="19"/>
      <c r="H76" s="19"/>
      <c r="I76" s="19"/>
      <c r="J76" s="19"/>
      <c r="K76" s="19"/>
      <c r="L76" s="19"/>
      <c r="M76" s="19"/>
      <c r="N76" s="19"/>
      <c r="O76" s="19"/>
      <c r="P76" s="19"/>
      <c r="Q76" s="29"/>
    </row>
    <row r="77" spans="1:17" ht="12.75" customHeight="1" x14ac:dyDescent="0.25">
      <c r="A77" s="154" t="s">
        <v>207</v>
      </c>
      <c r="B77" s="19"/>
      <c r="C77" s="19"/>
      <c r="D77" s="19"/>
      <c r="E77" s="19"/>
      <c r="F77" s="19"/>
      <c r="G77" s="19"/>
      <c r="H77" s="19"/>
      <c r="I77" s="19"/>
      <c r="J77" s="19"/>
      <c r="K77" s="19"/>
      <c r="L77" s="19"/>
      <c r="M77" s="19"/>
      <c r="N77" s="19"/>
      <c r="O77" s="19"/>
      <c r="P77" s="19"/>
      <c r="Q77" s="29"/>
    </row>
    <row r="78" spans="1:17" ht="12.75" customHeight="1" x14ac:dyDescent="0.25">
      <c r="A78" s="154" t="s">
        <v>208</v>
      </c>
      <c r="B78" s="19"/>
      <c r="C78" s="19"/>
      <c r="D78" s="19"/>
      <c r="E78" s="19"/>
      <c r="F78" s="19"/>
      <c r="G78" s="19"/>
      <c r="H78" s="19"/>
      <c r="I78" s="19"/>
      <c r="J78" s="19"/>
      <c r="K78" s="19"/>
      <c r="L78" s="19"/>
      <c r="M78" s="19"/>
      <c r="N78" s="19"/>
      <c r="O78" s="19"/>
      <c r="P78" s="19"/>
      <c r="Q78" s="29"/>
    </row>
    <row r="79" spans="1:17" ht="12.75" customHeight="1" x14ac:dyDescent="0.25">
      <c r="A79" s="153" t="s">
        <v>171</v>
      </c>
      <c r="B79" s="19"/>
      <c r="C79" s="19"/>
      <c r="D79" s="19"/>
      <c r="E79" s="19"/>
      <c r="F79" s="19"/>
      <c r="G79" s="19"/>
      <c r="H79" s="19"/>
      <c r="I79" s="19"/>
      <c r="J79" s="19"/>
      <c r="K79" s="19"/>
      <c r="L79" s="19"/>
      <c r="M79" s="19"/>
      <c r="N79" s="19"/>
      <c r="O79" s="19"/>
      <c r="P79" s="19"/>
      <c r="Q79" s="29"/>
    </row>
    <row r="80" spans="1:17" ht="12.75" customHeight="1" x14ac:dyDescent="0.25">
      <c r="A80" s="154" t="s">
        <v>182</v>
      </c>
      <c r="B80" s="19"/>
      <c r="C80" s="19"/>
      <c r="D80" s="19"/>
      <c r="E80" s="19"/>
      <c r="F80" s="19"/>
      <c r="G80" s="19"/>
      <c r="H80" s="19"/>
      <c r="I80" s="19"/>
      <c r="J80" s="19"/>
      <c r="K80" s="19"/>
      <c r="L80" s="19"/>
      <c r="M80" s="19"/>
      <c r="N80" s="19"/>
      <c r="O80" s="19"/>
      <c r="P80" s="19"/>
      <c r="Q80" s="29"/>
    </row>
    <row r="81" spans="1:17" ht="12.75" customHeight="1" x14ac:dyDescent="0.25">
      <c r="A81" s="155" t="s">
        <v>177</v>
      </c>
      <c r="B81" s="19"/>
      <c r="C81" s="19"/>
      <c r="D81" s="19"/>
      <c r="E81" s="19"/>
      <c r="F81" s="19"/>
      <c r="G81" s="19"/>
      <c r="H81" s="19"/>
      <c r="I81" s="19"/>
      <c r="J81" s="19"/>
      <c r="K81" s="19"/>
      <c r="L81" s="19"/>
      <c r="M81" s="19"/>
      <c r="N81" s="19"/>
      <c r="O81" s="19"/>
      <c r="P81" s="19"/>
      <c r="Q81" s="29"/>
    </row>
    <row r="82" spans="1:17" ht="12.75" customHeight="1" x14ac:dyDescent="0.25">
      <c r="A82" s="155" t="s">
        <v>209</v>
      </c>
      <c r="B82" s="19"/>
      <c r="C82" s="19"/>
      <c r="D82" s="19"/>
      <c r="E82" s="19"/>
      <c r="F82" s="19"/>
      <c r="G82" s="19"/>
      <c r="H82" s="19"/>
      <c r="I82" s="19"/>
      <c r="J82" s="19"/>
      <c r="K82" s="19"/>
      <c r="L82" s="19"/>
      <c r="M82" s="19"/>
      <c r="N82" s="19"/>
      <c r="O82" s="19"/>
      <c r="P82" s="19"/>
      <c r="Q82" s="29"/>
    </row>
    <row r="83" spans="1:17" ht="12.75" customHeight="1" x14ac:dyDescent="0.25">
      <c r="A83" s="156" t="s">
        <v>172</v>
      </c>
      <c r="B83" s="19"/>
      <c r="C83" s="19"/>
      <c r="D83" s="19"/>
      <c r="E83" s="19"/>
      <c r="F83" s="19"/>
      <c r="G83" s="19"/>
      <c r="H83" s="19"/>
      <c r="I83" s="19"/>
      <c r="J83" s="19"/>
      <c r="K83" s="19"/>
      <c r="L83" s="19"/>
      <c r="M83" s="19"/>
      <c r="N83" s="19"/>
      <c r="O83" s="19"/>
      <c r="P83" s="19"/>
      <c r="Q83" s="29"/>
    </row>
    <row r="84" spans="1:17" ht="12.75" customHeight="1" x14ac:dyDescent="0.25">
      <c r="A84" s="155" t="s">
        <v>211</v>
      </c>
      <c r="B84" s="19"/>
      <c r="C84" s="19"/>
      <c r="D84" s="19"/>
      <c r="E84" s="19"/>
      <c r="F84" s="19"/>
      <c r="G84" s="19"/>
      <c r="H84" s="19"/>
      <c r="I84" s="19"/>
      <c r="J84" s="19"/>
      <c r="K84" s="19"/>
      <c r="L84" s="19"/>
      <c r="M84" s="19"/>
      <c r="N84" s="19"/>
      <c r="O84" s="19"/>
      <c r="P84" s="19"/>
      <c r="Q84" s="29"/>
    </row>
    <row r="85" spans="1:17" ht="12.75" customHeight="1" x14ac:dyDescent="0.25">
      <c r="A85" s="155" t="s">
        <v>210</v>
      </c>
      <c r="B85" s="19"/>
      <c r="C85" s="19"/>
      <c r="D85" s="19"/>
      <c r="E85" s="19"/>
      <c r="F85" s="19"/>
      <c r="G85" s="19"/>
      <c r="H85" s="19"/>
      <c r="I85" s="19"/>
      <c r="J85" s="19"/>
      <c r="K85" s="19"/>
      <c r="L85" s="19"/>
      <c r="M85" s="19"/>
      <c r="N85" s="19"/>
      <c r="O85" s="19"/>
      <c r="P85" s="19"/>
      <c r="Q85" s="29"/>
    </row>
    <row r="86" spans="1:17" x14ac:dyDescent="0.25">
      <c r="A86" s="156" t="s">
        <v>173</v>
      </c>
      <c r="B86" s="19"/>
      <c r="C86" s="19"/>
      <c r="D86" s="19"/>
      <c r="E86" s="19"/>
      <c r="F86" s="19"/>
      <c r="G86" s="19"/>
      <c r="H86" s="19"/>
      <c r="I86" s="19"/>
      <c r="J86" s="19"/>
      <c r="K86" s="19"/>
      <c r="L86" s="19"/>
      <c r="M86" s="19"/>
      <c r="N86" s="19"/>
      <c r="O86" s="19"/>
      <c r="P86" s="19"/>
      <c r="Q86" s="29"/>
    </row>
    <row r="87" spans="1:17" x14ac:dyDescent="0.25">
      <c r="A87" s="155" t="s">
        <v>181</v>
      </c>
      <c r="B87" s="19"/>
      <c r="C87" s="19"/>
      <c r="D87" s="19"/>
      <c r="E87" s="19"/>
      <c r="F87" s="19"/>
      <c r="G87" s="19"/>
      <c r="H87" s="19"/>
      <c r="I87" s="19"/>
      <c r="J87" s="19"/>
      <c r="K87" s="19"/>
      <c r="L87" s="19"/>
      <c r="M87" s="19"/>
      <c r="N87" s="19"/>
      <c r="O87" s="19"/>
      <c r="P87" s="19"/>
      <c r="Q87" s="29"/>
    </row>
    <row r="88" spans="1:17" x14ac:dyDescent="0.25">
      <c r="A88" s="155" t="s">
        <v>176</v>
      </c>
      <c r="B88" s="19"/>
      <c r="C88" s="19"/>
      <c r="D88" s="19"/>
      <c r="E88" s="19"/>
      <c r="F88" s="19"/>
      <c r="G88" s="19"/>
      <c r="H88" s="19"/>
      <c r="I88" s="19"/>
      <c r="J88" s="19"/>
      <c r="K88" s="19"/>
      <c r="L88" s="19"/>
      <c r="M88" s="19"/>
      <c r="N88" s="19"/>
      <c r="O88" s="19"/>
      <c r="P88" s="19"/>
      <c r="Q88" s="29"/>
    </row>
    <row r="89" spans="1:17" x14ac:dyDescent="0.25">
      <c r="A89" s="155" t="s">
        <v>212</v>
      </c>
      <c r="B89" s="19"/>
      <c r="C89" s="19"/>
      <c r="D89" s="19"/>
      <c r="E89" s="19"/>
      <c r="F89" s="19"/>
      <c r="G89" s="19"/>
      <c r="H89" s="19"/>
      <c r="I89" s="19"/>
      <c r="J89" s="19"/>
      <c r="K89" s="19"/>
      <c r="L89" s="19"/>
      <c r="M89" s="19"/>
      <c r="N89" s="19"/>
      <c r="O89" s="19"/>
      <c r="P89" s="19"/>
      <c r="Q89" s="29"/>
    </row>
    <row r="90" spans="1:17" x14ac:dyDescent="0.25">
      <c r="A90" s="156" t="s">
        <v>174</v>
      </c>
      <c r="B90" s="19"/>
      <c r="C90" s="19"/>
      <c r="D90" s="19"/>
      <c r="E90" s="19"/>
      <c r="F90" s="19"/>
      <c r="G90" s="19"/>
      <c r="H90" s="19"/>
      <c r="I90" s="19"/>
      <c r="J90" s="19"/>
      <c r="K90" s="19"/>
      <c r="L90" s="19"/>
      <c r="M90" s="19"/>
      <c r="N90" s="19"/>
      <c r="O90" s="19"/>
      <c r="P90" s="19"/>
      <c r="Q90" s="29"/>
    </row>
    <row r="91" spans="1:17" x14ac:dyDescent="0.25">
      <c r="A91" s="155" t="s">
        <v>213</v>
      </c>
      <c r="B91" s="19"/>
      <c r="C91" s="19"/>
      <c r="D91" s="19"/>
      <c r="E91" s="19"/>
      <c r="F91" s="19"/>
      <c r="G91" s="19"/>
      <c r="H91" s="19"/>
      <c r="I91" s="19"/>
      <c r="J91" s="19"/>
      <c r="K91" s="19"/>
      <c r="L91" s="19"/>
      <c r="M91" s="19"/>
      <c r="N91" s="19"/>
      <c r="O91" s="19"/>
      <c r="P91" s="19"/>
      <c r="Q91" s="29"/>
    </row>
    <row r="92" spans="1:17" x14ac:dyDescent="0.25">
      <c r="A92" s="155" t="s">
        <v>214</v>
      </c>
      <c r="B92" s="19"/>
      <c r="C92" s="19"/>
      <c r="D92" s="19"/>
      <c r="E92" s="19"/>
      <c r="F92" s="19"/>
      <c r="G92" s="19"/>
      <c r="H92" s="19"/>
      <c r="I92" s="19"/>
      <c r="J92" s="19"/>
      <c r="K92" s="19"/>
      <c r="L92" s="19"/>
      <c r="M92" s="19"/>
      <c r="N92" s="19"/>
      <c r="O92" s="19"/>
      <c r="P92" s="19"/>
      <c r="Q92" s="29"/>
    </row>
    <row r="93" spans="1:17" x14ac:dyDescent="0.25">
      <c r="A93" s="156" t="s">
        <v>175</v>
      </c>
      <c r="B93" s="19"/>
      <c r="C93" s="19"/>
      <c r="D93" s="19"/>
      <c r="E93" s="19"/>
      <c r="F93" s="19"/>
      <c r="G93" s="19"/>
      <c r="H93" s="19"/>
      <c r="I93" s="19"/>
      <c r="J93" s="19"/>
      <c r="K93" s="19"/>
      <c r="L93" s="19"/>
      <c r="M93" s="19"/>
      <c r="N93" s="19"/>
      <c r="O93" s="19"/>
      <c r="P93" s="19"/>
      <c r="Q93" s="29"/>
    </row>
    <row r="94" spans="1:17" x14ac:dyDescent="0.25">
      <c r="A94" s="155" t="s">
        <v>213</v>
      </c>
      <c r="B94" s="19"/>
      <c r="C94" s="19"/>
      <c r="D94" s="19"/>
      <c r="E94" s="19"/>
      <c r="F94" s="19"/>
      <c r="G94" s="19"/>
      <c r="H94" s="19"/>
      <c r="I94" s="19"/>
      <c r="J94" s="19"/>
      <c r="K94" s="19"/>
      <c r="L94" s="19"/>
      <c r="M94" s="19"/>
      <c r="N94" s="19"/>
      <c r="O94" s="19"/>
      <c r="P94" s="19"/>
      <c r="Q94" s="29"/>
    </row>
    <row r="95" spans="1:17" x14ac:dyDescent="0.25">
      <c r="A95" s="155" t="s">
        <v>190</v>
      </c>
      <c r="B95" s="19"/>
      <c r="C95" s="19"/>
      <c r="D95" s="19"/>
      <c r="E95" s="19"/>
      <c r="F95" s="19"/>
      <c r="G95" s="19"/>
      <c r="H95" s="19"/>
      <c r="I95" s="19"/>
      <c r="J95" s="19"/>
      <c r="K95" s="19"/>
      <c r="L95" s="19"/>
      <c r="M95" s="19"/>
      <c r="N95" s="19"/>
      <c r="O95" s="19"/>
      <c r="P95" s="19"/>
      <c r="Q95" s="29"/>
    </row>
    <row r="96" spans="1:17" x14ac:dyDescent="0.25">
      <c r="A96" s="156" t="s">
        <v>180</v>
      </c>
      <c r="B96" s="19"/>
      <c r="C96" s="19"/>
      <c r="D96" s="19"/>
      <c r="E96" s="19"/>
      <c r="F96" s="19"/>
      <c r="G96" s="19"/>
      <c r="H96" s="19"/>
      <c r="I96" s="19"/>
      <c r="J96" s="19"/>
      <c r="K96" s="19"/>
      <c r="L96" s="19"/>
      <c r="M96" s="19"/>
      <c r="N96" s="19"/>
      <c r="O96" s="19"/>
      <c r="P96" s="19"/>
      <c r="Q96" s="29"/>
    </row>
    <row r="97" spans="1:17" x14ac:dyDescent="0.25">
      <c r="A97" s="155" t="s">
        <v>215</v>
      </c>
      <c r="B97" s="19"/>
      <c r="C97" s="19"/>
      <c r="D97" s="19"/>
      <c r="E97" s="19"/>
      <c r="F97" s="19"/>
      <c r="G97" s="19"/>
      <c r="H97" s="19"/>
      <c r="I97" s="19"/>
      <c r="J97" s="19"/>
      <c r="K97" s="19"/>
      <c r="L97" s="19"/>
      <c r="M97" s="19"/>
      <c r="N97" s="19"/>
      <c r="O97" s="19"/>
      <c r="P97" s="19"/>
      <c r="Q97" s="29"/>
    </row>
    <row r="98" spans="1:17" x14ac:dyDescent="0.25">
      <c r="A98" s="155" t="s">
        <v>183</v>
      </c>
      <c r="B98" s="19"/>
      <c r="C98" s="19"/>
      <c r="D98" s="19"/>
      <c r="E98" s="19"/>
      <c r="F98" s="19"/>
      <c r="G98" s="19"/>
      <c r="H98" s="19"/>
      <c r="I98" s="19"/>
      <c r="J98" s="19"/>
      <c r="K98" s="19"/>
      <c r="L98" s="19"/>
      <c r="M98" s="19"/>
      <c r="N98" s="19"/>
      <c r="O98" s="19"/>
      <c r="P98" s="19"/>
      <c r="Q98" s="29"/>
    </row>
    <row r="99" spans="1:17" ht="13.8" thickBot="1" x14ac:dyDescent="0.3">
      <c r="A99" s="33"/>
      <c r="B99" s="34"/>
      <c r="C99" s="34"/>
      <c r="D99" s="34"/>
      <c r="E99" s="34"/>
      <c r="F99" s="34"/>
      <c r="G99" s="34"/>
      <c r="H99" s="34"/>
      <c r="I99" s="34"/>
      <c r="J99" s="34"/>
      <c r="K99" s="34"/>
      <c r="L99" s="34"/>
      <c r="M99" s="34"/>
      <c r="N99" s="34"/>
      <c r="O99" s="34"/>
      <c r="P99" s="34"/>
      <c r="Q99" s="35"/>
    </row>
  </sheetData>
  <sheetProtection algorithmName="SHA-512" hashValue="bBNp9ahiWRT/j9Fw0wSQRqKfeqnExYf8QsRloVfWtdctFgyoA6qSjSziCzivCVIfe07CQuKKwqdtvQ4KyxaCPw==" saltValue="O15946Skc+xqhBkF904RLQ==" spinCount="100000" sheet="1" selectLockedCells="1"/>
  <mergeCells count="73">
    <mergeCell ref="G49:I49"/>
    <mergeCell ref="D50:E50"/>
    <mergeCell ref="A2:Q2"/>
    <mergeCell ref="A3:Q3"/>
    <mergeCell ref="A5:Q5"/>
    <mergeCell ref="C7:F7"/>
    <mergeCell ref="O7:P7"/>
    <mergeCell ref="C8:F8"/>
    <mergeCell ref="O8:P8"/>
    <mergeCell ref="A48:B48"/>
    <mergeCell ref="G48:I48"/>
    <mergeCell ref="G50:I50"/>
    <mergeCell ref="A44:E44"/>
    <mergeCell ref="G44:H44"/>
    <mergeCell ref="A39:Q39"/>
    <mergeCell ref="A29:Q32"/>
    <mergeCell ref="D52:E52"/>
    <mergeCell ref="G52:I52"/>
    <mergeCell ref="D55:E55"/>
    <mergeCell ref="G55:I55"/>
    <mergeCell ref="A57:B64"/>
    <mergeCell ref="D57:E57"/>
    <mergeCell ref="G57:I57"/>
    <mergeCell ref="D58:E58"/>
    <mergeCell ref="G58:I58"/>
    <mergeCell ref="D63:E63"/>
    <mergeCell ref="G63:I63"/>
    <mergeCell ref="D64:M64"/>
    <mergeCell ref="D62:E62"/>
    <mergeCell ref="G62:I62"/>
    <mergeCell ref="A49:B56"/>
    <mergeCell ref="D49:E49"/>
    <mergeCell ref="D72:M72"/>
    <mergeCell ref="A65:B72"/>
    <mergeCell ref="D65:E65"/>
    <mergeCell ref="G65:I65"/>
    <mergeCell ref="D66:E66"/>
    <mergeCell ref="D68:E68"/>
    <mergeCell ref="G68:I68"/>
    <mergeCell ref="D70:E70"/>
    <mergeCell ref="G70:I70"/>
    <mergeCell ref="D67:E67"/>
    <mergeCell ref="G67:I67"/>
    <mergeCell ref="D69:E69"/>
    <mergeCell ref="G69:I69"/>
    <mergeCell ref="G66:I66"/>
    <mergeCell ref="A34:Q37"/>
    <mergeCell ref="J44:N44"/>
    <mergeCell ref="P44:Q44"/>
    <mergeCell ref="A40:E40"/>
    <mergeCell ref="G40:H40"/>
    <mergeCell ref="J40:N40"/>
    <mergeCell ref="P40:Q40"/>
    <mergeCell ref="A42:E42"/>
    <mergeCell ref="G42:H42"/>
    <mergeCell ref="J42:N42"/>
    <mergeCell ref="P42:Q42"/>
    <mergeCell ref="A47:Q47"/>
    <mergeCell ref="D71:E71"/>
    <mergeCell ref="G71:I71"/>
    <mergeCell ref="D53:E53"/>
    <mergeCell ref="G53:I53"/>
    <mergeCell ref="D54:E54"/>
    <mergeCell ref="G54:I54"/>
    <mergeCell ref="D61:E61"/>
    <mergeCell ref="G61:I61"/>
    <mergeCell ref="D59:E59"/>
    <mergeCell ref="G59:I59"/>
    <mergeCell ref="D60:E60"/>
    <mergeCell ref="G60:I60"/>
    <mergeCell ref="D56:M56"/>
    <mergeCell ref="D51:E51"/>
    <mergeCell ref="G51:I51"/>
  </mergeCells>
  <conditionalFormatting sqref="Q49 Q52:Q55 Q60:Q63 Q68:Q71">
    <cfRule type="expression" dxfId="105" priority="75">
      <formula>Q49&gt;N49</formula>
    </cfRule>
  </conditionalFormatting>
  <conditionalFormatting sqref="Q50 Q56">
    <cfRule type="expression" dxfId="104" priority="74">
      <formula>Q50&gt;N50</formula>
    </cfRule>
  </conditionalFormatting>
  <conditionalFormatting sqref="Q64">
    <cfRule type="expression" dxfId="103" priority="72">
      <formula>Q64&gt;N64</formula>
    </cfRule>
  </conditionalFormatting>
  <conditionalFormatting sqref="Q72">
    <cfRule type="expression" dxfId="102" priority="59">
      <formula>Q72&gt;N72</formula>
    </cfRule>
  </conditionalFormatting>
  <conditionalFormatting sqref="K49">
    <cfRule type="expression" dxfId="101" priority="53">
      <formula>K49="No"</formula>
    </cfRule>
  </conditionalFormatting>
  <conditionalFormatting sqref="L65:L66 L57:L58 L49:L50 L55 L63 L71">
    <cfRule type="expression" dxfId="100" priority="51">
      <formula>L49="No"</formula>
    </cfRule>
  </conditionalFormatting>
  <conditionalFormatting sqref="K65:K66 K57:K58 K50 K55 K63 K71">
    <cfRule type="expression" dxfId="99" priority="52">
      <formula>K50="No"</formula>
    </cfRule>
  </conditionalFormatting>
  <conditionalFormatting sqref="Q51">
    <cfRule type="expression" dxfId="98" priority="50">
      <formula>Q51&gt;N51</formula>
    </cfRule>
  </conditionalFormatting>
  <conditionalFormatting sqref="L51">
    <cfRule type="expression" dxfId="97" priority="48">
      <formula>L51="No"</formula>
    </cfRule>
  </conditionalFormatting>
  <conditionalFormatting sqref="K51">
    <cfRule type="expression" dxfId="96" priority="49">
      <formula>K51="No"</formula>
    </cfRule>
  </conditionalFormatting>
  <conditionalFormatting sqref="L52">
    <cfRule type="expression" dxfId="95" priority="45">
      <formula>L52="No"</formula>
    </cfRule>
  </conditionalFormatting>
  <conditionalFormatting sqref="K52">
    <cfRule type="expression" dxfId="94" priority="46">
      <formula>K52="No"</formula>
    </cfRule>
  </conditionalFormatting>
  <conditionalFormatting sqref="L59:L60">
    <cfRule type="expression" dxfId="93" priority="39">
      <formula>L59="No"</formula>
    </cfRule>
  </conditionalFormatting>
  <conditionalFormatting sqref="K59:K60">
    <cfRule type="expression" dxfId="92" priority="40">
      <formula>K59="No"</formula>
    </cfRule>
  </conditionalFormatting>
  <conditionalFormatting sqref="L67">
    <cfRule type="expression" dxfId="91" priority="36">
      <formula>L67="No"</formula>
    </cfRule>
  </conditionalFormatting>
  <conditionalFormatting sqref="K67">
    <cfRule type="expression" dxfId="90" priority="37">
      <formula>K67="No"</formula>
    </cfRule>
  </conditionalFormatting>
  <conditionalFormatting sqref="L70">
    <cfRule type="expression" dxfId="89" priority="33">
      <formula>L70="No"</formula>
    </cfRule>
  </conditionalFormatting>
  <conditionalFormatting sqref="K70">
    <cfRule type="expression" dxfId="88" priority="34">
      <formula>K70="No"</formula>
    </cfRule>
  </conditionalFormatting>
  <conditionalFormatting sqref="L53">
    <cfRule type="expression" dxfId="87" priority="30">
      <formula>L53="No"</formula>
    </cfRule>
  </conditionalFormatting>
  <conditionalFormatting sqref="K53">
    <cfRule type="expression" dxfId="86" priority="31">
      <formula>K53="No"</formula>
    </cfRule>
  </conditionalFormatting>
  <conditionalFormatting sqref="L54">
    <cfRule type="expression" dxfId="85" priority="27">
      <formula>L54="No"</formula>
    </cfRule>
  </conditionalFormatting>
  <conditionalFormatting sqref="K54">
    <cfRule type="expression" dxfId="84" priority="28">
      <formula>K54="No"</formula>
    </cfRule>
  </conditionalFormatting>
  <conditionalFormatting sqref="L61">
    <cfRule type="expression" dxfId="83" priority="24">
      <formula>L61="No"</formula>
    </cfRule>
  </conditionalFormatting>
  <conditionalFormatting sqref="K61">
    <cfRule type="expression" dxfId="82" priority="25">
      <formula>K61="No"</formula>
    </cfRule>
  </conditionalFormatting>
  <conditionalFormatting sqref="L62">
    <cfRule type="expression" dxfId="81" priority="21">
      <formula>L62="No"</formula>
    </cfRule>
  </conditionalFormatting>
  <conditionalFormatting sqref="K62">
    <cfRule type="expression" dxfId="80" priority="22">
      <formula>K62="No"</formula>
    </cfRule>
  </conditionalFormatting>
  <conditionalFormatting sqref="L69">
    <cfRule type="expression" dxfId="79" priority="18">
      <formula>L69="No"</formula>
    </cfRule>
  </conditionalFormatting>
  <conditionalFormatting sqref="K69">
    <cfRule type="expression" dxfId="78" priority="19">
      <formula>K69="No"</formula>
    </cfRule>
  </conditionalFormatting>
  <conditionalFormatting sqref="Q59">
    <cfRule type="expression" dxfId="77" priority="8">
      <formula>Q59&gt;N59</formula>
    </cfRule>
  </conditionalFormatting>
  <conditionalFormatting sqref="L68">
    <cfRule type="expression" dxfId="76" priority="12">
      <formula>L68="No"</formula>
    </cfRule>
  </conditionalFormatting>
  <conditionalFormatting sqref="K68">
    <cfRule type="expression" dxfId="75" priority="13">
      <formula>K68="No"</formula>
    </cfRule>
  </conditionalFormatting>
  <conditionalFormatting sqref="Q57">
    <cfRule type="expression" dxfId="74" priority="10">
      <formula>Q57&gt;N57</formula>
    </cfRule>
  </conditionalFormatting>
  <conditionalFormatting sqref="Q58">
    <cfRule type="expression" dxfId="73" priority="9">
      <formula>Q58&gt;N58</formula>
    </cfRule>
  </conditionalFormatting>
  <conditionalFormatting sqref="Q65">
    <cfRule type="expression" dxfId="72" priority="6">
      <formula>Q65&gt;N65</formula>
    </cfRule>
  </conditionalFormatting>
  <conditionalFormatting sqref="Q66">
    <cfRule type="expression" dxfId="71" priority="5">
      <formula>Q66&gt;N66</formula>
    </cfRule>
  </conditionalFormatting>
  <conditionalFormatting sqref="Q67">
    <cfRule type="expression" dxfId="70" priority="4">
      <formula>Q67&gt;N67</formula>
    </cfRule>
  </conditionalFormatting>
  <conditionalFormatting sqref="O56">
    <cfRule type="expression" dxfId="69" priority="96">
      <formula>O56&gt;SUM(C49:C55)</formula>
    </cfRule>
  </conditionalFormatting>
  <conditionalFormatting sqref="O64">
    <cfRule type="expression" dxfId="68" priority="97">
      <formula>O64&gt;SUM(C57:C63)</formula>
    </cfRule>
  </conditionalFormatting>
  <conditionalFormatting sqref="O72">
    <cfRule type="expression" dxfId="67" priority="98">
      <formula>O72&gt;SUM(C65:C71)</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73"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Tables!$Q$21:$Q$23</xm:f>
          </x14:formula1>
          <xm:sqref>L49:L55 L57:L63 L65:L71</xm:sqref>
        </x14:dataValidation>
        <x14:dataValidation type="list" allowBlank="1" showInputMessage="1" showErrorMessage="1" xr:uid="{00000000-0002-0000-0700-000001000000}">
          <x14:formula1>
            <xm:f>Tables!$O$21:$O$23</xm:f>
          </x14:formula1>
          <xm:sqref>K49:K55 K57:K63 K65:K71</xm:sqref>
        </x14:dataValidation>
        <x14:dataValidation type="list" allowBlank="1" showInputMessage="1" showErrorMessage="1" xr:uid="{00000000-0002-0000-0700-000002000000}">
          <x14:formula1>
            <xm:f>Tables!$U$2:$U$7</xm:f>
          </x14:formula1>
          <xm:sqref>C7:F7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99"/>
    <pageSetUpPr fitToPage="1"/>
  </sheetPr>
  <dimension ref="A1:Q78"/>
  <sheetViews>
    <sheetView topLeftCell="A40" zoomScaleNormal="100" workbookViewId="0">
      <selection activeCell="G49" sqref="G49:I49"/>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JUNIOR HIGH SCHOOL EXTRACURRICULAR STIPEND PAYMENT REQUEST")</f>
        <v>2023-2024 JUNIOR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200</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7"/>
      <c r="Q7" s="157"/>
    </row>
    <row r="8" spans="1:17" ht="19.95" customHeight="1" x14ac:dyDescent="0.3">
      <c r="A8" s="133"/>
      <c r="B8" s="17" t="s">
        <v>163</v>
      </c>
      <c r="C8" s="474"/>
      <c r="D8" s="474"/>
      <c r="E8" s="474"/>
      <c r="F8" s="474"/>
      <c r="G8" s="19"/>
      <c r="H8" s="19"/>
      <c r="I8" s="19"/>
      <c r="J8" s="19"/>
      <c r="K8" s="18"/>
      <c r="L8" s="18"/>
      <c r="M8" s="18"/>
      <c r="N8" s="17" t="s">
        <v>72</v>
      </c>
      <c r="O8" s="469" t="s">
        <v>155</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Drama</v>
      </c>
      <c r="B12" s="201"/>
      <c r="C12" s="201"/>
      <c r="D12" s="187">
        <f>+P51</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c r="B13" s="201"/>
      <c r="C13" s="201"/>
      <c r="D13" s="190">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21"/>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202</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169</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11"/>
      <c r="I22" s="19"/>
      <c r="J22" s="19"/>
      <c r="K22" s="19"/>
      <c r="L22" s="119"/>
      <c r="M22" s="119"/>
      <c r="N22" s="119"/>
      <c r="O22" s="119"/>
      <c r="P22" s="124"/>
      <c r="Q22" s="125"/>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65"/>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513" t="s">
        <v>31</v>
      </c>
      <c r="B49" s="514"/>
      <c r="C49" s="207">
        <f>+'JHS - Positions and Funding'!B16</f>
        <v>1600</v>
      </c>
      <c r="D49" s="446" t="s">
        <v>58</v>
      </c>
      <c r="E49" s="446"/>
      <c r="F49" s="168" t="s">
        <v>79</v>
      </c>
      <c r="G49" s="451"/>
      <c r="H49" s="451"/>
      <c r="I49" s="451"/>
      <c r="J49" s="169"/>
      <c r="K49" s="169"/>
      <c r="L49" s="169"/>
      <c r="M49" s="208" t="s">
        <v>79</v>
      </c>
      <c r="N49" s="209">
        <f>IF(C49&gt;0,C49,0)</f>
        <v>1600</v>
      </c>
      <c r="O49" s="172">
        <v>0</v>
      </c>
      <c r="P49" s="210" t="s">
        <v>79</v>
      </c>
      <c r="Q49" s="173">
        <f>SUM(O49:P49)</f>
        <v>0</v>
      </c>
    </row>
    <row r="50" spans="1:17" ht="19.95" customHeight="1" x14ac:dyDescent="0.25">
      <c r="A50" s="536"/>
      <c r="B50" s="537"/>
      <c r="C50" s="211">
        <v>0</v>
      </c>
      <c r="D50" s="445" t="s">
        <v>59</v>
      </c>
      <c r="E50" s="445"/>
      <c r="F50" s="174" t="s">
        <v>79</v>
      </c>
      <c r="G50" s="538" t="s">
        <v>79</v>
      </c>
      <c r="H50" s="538"/>
      <c r="I50" s="538"/>
      <c r="J50" s="212" t="s">
        <v>79</v>
      </c>
      <c r="K50" s="212" t="s">
        <v>79</v>
      </c>
      <c r="L50" s="212" t="s">
        <v>79</v>
      </c>
      <c r="M50" s="212" t="s">
        <v>79</v>
      </c>
      <c r="N50" s="212" t="s">
        <v>79</v>
      </c>
      <c r="O50" s="212" t="s">
        <v>79</v>
      </c>
      <c r="P50" s="213" t="s">
        <v>79</v>
      </c>
      <c r="Q50" s="222" t="s">
        <v>79</v>
      </c>
    </row>
    <row r="51" spans="1:17" s="143" customFormat="1" ht="19.95" customHeight="1" thickBot="1" x14ac:dyDescent="0.35">
      <c r="A51" s="517"/>
      <c r="B51" s="518"/>
      <c r="C51" s="215"/>
      <c r="D51" s="448" t="str">
        <f>CONCATENATE(A49," Totals")</f>
        <v>Drama Totals</v>
      </c>
      <c r="E51" s="448"/>
      <c r="F51" s="448"/>
      <c r="G51" s="448"/>
      <c r="H51" s="448"/>
      <c r="I51" s="448"/>
      <c r="J51" s="448"/>
      <c r="K51" s="448"/>
      <c r="L51" s="448"/>
      <c r="M51" s="449"/>
      <c r="N51" s="216">
        <f>SUM(N49:N50)</f>
        <v>1600</v>
      </c>
      <c r="O51" s="216">
        <f>SUM(O49:O50)</f>
        <v>0</v>
      </c>
      <c r="P51" s="216">
        <f>SUM(P49:P50)</f>
        <v>0</v>
      </c>
      <c r="Q51" s="181">
        <f>SUM(O51:P51)</f>
        <v>0</v>
      </c>
    </row>
    <row r="52" spans="1:17" s="142" customFormat="1" ht="19.95" customHeight="1" thickBot="1" x14ac:dyDescent="0.35">
      <c r="A52" s="182"/>
      <c r="B52" s="183"/>
      <c r="C52" s="183"/>
      <c r="D52" s="183"/>
      <c r="E52" s="183"/>
      <c r="F52" s="197"/>
      <c r="G52" s="183"/>
      <c r="H52" s="183"/>
      <c r="I52" s="183"/>
      <c r="J52" s="183"/>
      <c r="K52" s="183"/>
      <c r="L52" s="183"/>
      <c r="M52" s="184" t="s">
        <v>134</v>
      </c>
      <c r="N52" s="185">
        <f>+N51</f>
        <v>1600</v>
      </c>
      <c r="O52" s="185">
        <f>+O51</f>
        <v>0</v>
      </c>
      <c r="P52" s="185">
        <f>+P51</f>
        <v>0</v>
      </c>
      <c r="Q52" s="186">
        <f>+Q51</f>
        <v>0</v>
      </c>
    </row>
    <row r="53" spans="1:17" ht="12.75" customHeight="1" x14ac:dyDescent="0.25">
      <c r="A53" s="152" t="s">
        <v>178</v>
      </c>
      <c r="B53" s="11"/>
      <c r="C53" s="11"/>
      <c r="D53" s="11"/>
      <c r="E53" s="11"/>
      <c r="F53" s="11"/>
      <c r="G53" s="11"/>
      <c r="H53" s="11"/>
      <c r="I53" s="11"/>
      <c r="J53" s="11"/>
      <c r="K53" s="11"/>
      <c r="L53" s="11"/>
      <c r="M53" s="11"/>
      <c r="N53" s="11"/>
      <c r="O53" s="11"/>
      <c r="P53" s="11"/>
      <c r="Q53" s="132"/>
    </row>
    <row r="54" spans="1:17" ht="12.75" customHeight="1" x14ac:dyDescent="0.25">
      <c r="A54" s="153" t="s">
        <v>170</v>
      </c>
      <c r="B54" s="19"/>
      <c r="C54" s="19"/>
      <c r="D54" s="19"/>
      <c r="E54" s="19"/>
      <c r="F54" s="19"/>
      <c r="G54" s="19"/>
      <c r="H54" s="19"/>
      <c r="I54" s="19"/>
      <c r="J54" s="19"/>
      <c r="K54" s="19"/>
      <c r="L54" s="19"/>
      <c r="M54" s="19"/>
      <c r="N54" s="19"/>
      <c r="O54" s="19"/>
      <c r="P54" s="19"/>
      <c r="Q54" s="29"/>
    </row>
    <row r="55" spans="1:17" ht="12.75" customHeight="1" x14ac:dyDescent="0.25">
      <c r="A55" s="154" t="s">
        <v>179</v>
      </c>
      <c r="B55" s="19"/>
      <c r="C55" s="19"/>
      <c r="D55" s="19"/>
      <c r="E55" s="19"/>
      <c r="F55" s="19"/>
      <c r="G55" s="19"/>
      <c r="H55" s="19"/>
      <c r="I55" s="19"/>
      <c r="J55" s="19"/>
      <c r="K55" s="19"/>
      <c r="L55" s="19"/>
      <c r="M55" s="19"/>
      <c r="N55" s="19"/>
      <c r="O55" s="19"/>
      <c r="P55" s="19"/>
      <c r="Q55" s="29"/>
    </row>
    <row r="56" spans="1:17" ht="12.75" customHeight="1" x14ac:dyDescent="0.25">
      <c r="A56" s="154" t="s">
        <v>207</v>
      </c>
      <c r="B56" s="19"/>
      <c r="C56" s="19"/>
      <c r="D56" s="19"/>
      <c r="E56" s="19"/>
      <c r="F56" s="19"/>
      <c r="G56" s="19"/>
      <c r="H56" s="19"/>
      <c r="I56" s="19"/>
      <c r="J56" s="19"/>
      <c r="K56" s="19"/>
      <c r="L56" s="19"/>
      <c r="M56" s="19"/>
      <c r="N56" s="19"/>
      <c r="O56" s="19"/>
      <c r="P56" s="19"/>
      <c r="Q56" s="29"/>
    </row>
    <row r="57" spans="1:17" ht="12.75" customHeight="1" x14ac:dyDescent="0.25">
      <c r="A57" s="154" t="s">
        <v>208</v>
      </c>
      <c r="B57" s="19"/>
      <c r="C57" s="19"/>
      <c r="D57" s="19"/>
      <c r="E57" s="19"/>
      <c r="F57" s="19"/>
      <c r="G57" s="19"/>
      <c r="H57" s="19"/>
      <c r="I57" s="19"/>
      <c r="J57" s="19"/>
      <c r="K57" s="19"/>
      <c r="L57" s="19"/>
      <c r="M57" s="19"/>
      <c r="N57" s="19"/>
      <c r="O57" s="19"/>
      <c r="P57" s="19"/>
      <c r="Q57" s="29"/>
    </row>
    <row r="58" spans="1:17" ht="12.75" customHeight="1" x14ac:dyDescent="0.25">
      <c r="A58" s="153" t="s">
        <v>171</v>
      </c>
      <c r="B58" s="19"/>
      <c r="C58" s="19"/>
      <c r="D58" s="19"/>
      <c r="E58" s="19"/>
      <c r="F58" s="19"/>
      <c r="G58" s="19"/>
      <c r="H58" s="19"/>
      <c r="I58" s="19"/>
      <c r="J58" s="19"/>
      <c r="K58" s="19"/>
      <c r="L58" s="19"/>
      <c r="M58" s="19"/>
      <c r="N58" s="19"/>
      <c r="O58" s="19"/>
      <c r="P58" s="19"/>
      <c r="Q58" s="29"/>
    </row>
    <row r="59" spans="1:17" ht="12.75" customHeight="1" x14ac:dyDescent="0.25">
      <c r="A59" s="154" t="s">
        <v>182</v>
      </c>
      <c r="B59" s="19"/>
      <c r="C59" s="19"/>
      <c r="D59" s="19"/>
      <c r="E59" s="19"/>
      <c r="F59" s="19"/>
      <c r="G59" s="19"/>
      <c r="H59" s="19"/>
      <c r="I59" s="19"/>
      <c r="J59" s="19"/>
      <c r="K59" s="19"/>
      <c r="L59" s="19"/>
      <c r="M59" s="19"/>
      <c r="N59" s="19"/>
      <c r="O59" s="19"/>
      <c r="P59" s="19"/>
      <c r="Q59" s="29"/>
    </row>
    <row r="60" spans="1:17" ht="12.75" customHeight="1" x14ac:dyDescent="0.25">
      <c r="A60" s="155" t="s">
        <v>177</v>
      </c>
      <c r="B60" s="19"/>
      <c r="C60" s="19"/>
      <c r="D60" s="19"/>
      <c r="E60" s="19"/>
      <c r="F60" s="19"/>
      <c r="G60" s="19"/>
      <c r="H60" s="19"/>
      <c r="I60" s="19"/>
      <c r="J60" s="19"/>
      <c r="K60" s="19"/>
      <c r="L60" s="19"/>
      <c r="M60" s="19"/>
      <c r="N60" s="19"/>
      <c r="O60" s="19"/>
      <c r="P60" s="19"/>
      <c r="Q60" s="29"/>
    </row>
    <row r="61" spans="1:17" ht="12.75" customHeight="1" x14ac:dyDescent="0.25">
      <c r="A61" s="155" t="s">
        <v>209</v>
      </c>
      <c r="B61" s="19"/>
      <c r="C61" s="19"/>
      <c r="D61" s="19"/>
      <c r="E61" s="19"/>
      <c r="F61" s="19"/>
      <c r="G61" s="19"/>
      <c r="H61" s="19"/>
      <c r="I61" s="19"/>
      <c r="J61" s="19"/>
      <c r="K61" s="19"/>
      <c r="L61" s="19"/>
      <c r="M61" s="19"/>
      <c r="N61" s="19"/>
      <c r="O61" s="19"/>
      <c r="P61" s="19"/>
      <c r="Q61" s="29"/>
    </row>
    <row r="62" spans="1:17" ht="12.75" customHeight="1" x14ac:dyDescent="0.25">
      <c r="A62" s="156" t="s">
        <v>172</v>
      </c>
      <c r="B62" s="19"/>
      <c r="C62" s="19"/>
      <c r="D62" s="19"/>
      <c r="E62" s="19"/>
      <c r="F62" s="19"/>
      <c r="G62" s="19"/>
      <c r="H62" s="19"/>
      <c r="I62" s="19"/>
      <c r="J62" s="19"/>
      <c r="K62" s="19"/>
      <c r="L62" s="19"/>
      <c r="M62" s="19"/>
      <c r="N62" s="19"/>
      <c r="O62" s="19"/>
      <c r="P62" s="19"/>
      <c r="Q62" s="29"/>
    </row>
    <row r="63" spans="1:17" ht="12.75" customHeight="1" x14ac:dyDescent="0.25">
      <c r="A63" s="155" t="s">
        <v>211</v>
      </c>
      <c r="B63" s="19"/>
      <c r="C63" s="19"/>
      <c r="D63" s="19"/>
      <c r="E63" s="19"/>
      <c r="F63" s="19"/>
      <c r="G63" s="19"/>
      <c r="H63" s="19"/>
      <c r="I63" s="19"/>
      <c r="J63" s="19"/>
      <c r="K63" s="19"/>
      <c r="L63" s="19"/>
      <c r="M63" s="19"/>
      <c r="N63" s="19"/>
      <c r="O63" s="19"/>
      <c r="P63" s="19"/>
      <c r="Q63" s="29"/>
    </row>
    <row r="64" spans="1:17" ht="12.75" customHeight="1" x14ac:dyDescent="0.25">
      <c r="A64" s="155" t="s">
        <v>210</v>
      </c>
      <c r="B64" s="19"/>
      <c r="C64" s="19"/>
      <c r="D64" s="19"/>
      <c r="E64" s="19"/>
      <c r="F64" s="19"/>
      <c r="G64" s="19"/>
      <c r="H64" s="19"/>
      <c r="I64" s="19"/>
      <c r="J64" s="19"/>
      <c r="K64" s="19"/>
      <c r="L64" s="19"/>
      <c r="M64" s="19"/>
      <c r="N64" s="19"/>
      <c r="O64" s="19"/>
      <c r="P64" s="19"/>
      <c r="Q64" s="29"/>
    </row>
    <row r="65" spans="1:17" x14ac:dyDescent="0.25">
      <c r="A65" s="156" t="s">
        <v>173</v>
      </c>
      <c r="B65" s="19"/>
      <c r="C65" s="19"/>
      <c r="D65" s="19"/>
      <c r="E65" s="19"/>
      <c r="F65" s="19"/>
      <c r="G65" s="19"/>
      <c r="H65" s="19"/>
      <c r="I65" s="19"/>
      <c r="J65" s="19"/>
      <c r="K65" s="19"/>
      <c r="L65" s="19"/>
      <c r="M65" s="19"/>
      <c r="N65" s="19"/>
      <c r="O65" s="19"/>
      <c r="P65" s="19"/>
      <c r="Q65" s="29"/>
    </row>
    <row r="66" spans="1:17" x14ac:dyDescent="0.25">
      <c r="A66" s="155" t="s">
        <v>181</v>
      </c>
      <c r="B66" s="19"/>
      <c r="C66" s="19"/>
      <c r="D66" s="19"/>
      <c r="E66" s="19"/>
      <c r="F66" s="19"/>
      <c r="G66" s="19"/>
      <c r="H66" s="19"/>
      <c r="I66" s="19"/>
      <c r="J66" s="19"/>
      <c r="K66" s="19"/>
      <c r="L66" s="19"/>
      <c r="M66" s="19"/>
      <c r="N66" s="19"/>
      <c r="O66" s="19"/>
      <c r="P66" s="19"/>
      <c r="Q66" s="29"/>
    </row>
    <row r="67" spans="1:17" x14ac:dyDescent="0.25">
      <c r="A67" s="155" t="s">
        <v>176</v>
      </c>
      <c r="B67" s="19"/>
      <c r="C67" s="19"/>
      <c r="D67" s="19"/>
      <c r="E67" s="19"/>
      <c r="F67" s="19"/>
      <c r="G67" s="19"/>
      <c r="H67" s="19"/>
      <c r="I67" s="19"/>
      <c r="J67" s="19"/>
      <c r="K67" s="19"/>
      <c r="L67" s="19"/>
      <c r="M67" s="19"/>
      <c r="N67" s="19"/>
      <c r="O67" s="19"/>
      <c r="P67" s="19"/>
      <c r="Q67" s="29"/>
    </row>
    <row r="68" spans="1:17" x14ac:dyDescent="0.25">
      <c r="A68" s="155" t="s">
        <v>212</v>
      </c>
      <c r="B68" s="19"/>
      <c r="C68" s="19"/>
      <c r="D68" s="19"/>
      <c r="E68" s="19"/>
      <c r="F68" s="19"/>
      <c r="G68" s="19"/>
      <c r="H68" s="19"/>
      <c r="I68" s="19"/>
      <c r="J68" s="19"/>
      <c r="K68" s="19"/>
      <c r="L68" s="19"/>
      <c r="M68" s="19"/>
      <c r="N68" s="19"/>
      <c r="O68" s="19"/>
      <c r="P68" s="19"/>
      <c r="Q68" s="29"/>
    </row>
    <row r="69" spans="1:17" x14ac:dyDescent="0.25">
      <c r="A69" s="156" t="s">
        <v>174</v>
      </c>
      <c r="B69" s="19"/>
      <c r="C69" s="19"/>
      <c r="D69" s="19"/>
      <c r="E69" s="19"/>
      <c r="F69" s="19"/>
      <c r="G69" s="19"/>
      <c r="H69" s="19"/>
      <c r="I69" s="19"/>
      <c r="J69" s="19"/>
      <c r="K69" s="19"/>
      <c r="L69" s="19"/>
      <c r="M69" s="19"/>
      <c r="N69" s="19"/>
      <c r="O69" s="19"/>
      <c r="P69" s="19"/>
      <c r="Q69" s="29"/>
    </row>
    <row r="70" spans="1:17" x14ac:dyDescent="0.25">
      <c r="A70" s="155" t="s">
        <v>213</v>
      </c>
      <c r="B70" s="19"/>
      <c r="C70" s="19"/>
      <c r="D70" s="19"/>
      <c r="E70" s="19"/>
      <c r="F70" s="19"/>
      <c r="G70" s="19"/>
      <c r="H70" s="19"/>
      <c r="I70" s="19"/>
      <c r="J70" s="19"/>
      <c r="K70" s="19"/>
      <c r="L70" s="19"/>
      <c r="M70" s="19"/>
      <c r="N70" s="19"/>
      <c r="O70" s="19"/>
      <c r="P70" s="19"/>
      <c r="Q70" s="29"/>
    </row>
    <row r="71" spans="1:17" x14ac:dyDescent="0.25">
      <c r="A71" s="155" t="s">
        <v>214</v>
      </c>
      <c r="B71" s="19"/>
      <c r="C71" s="19"/>
      <c r="D71" s="19"/>
      <c r="E71" s="19"/>
      <c r="F71" s="19"/>
      <c r="G71" s="19"/>
      <c r="H71" s="19"/>
      <c r="I71" s="19"/>
      <c r="J71" s="19"/>
      <c r="K71" s="19"/>
      <c r="L71" s="19"/>
      <c r="M71" s="19"/>
      <c r="N71" s="19"/>
      <c r="O71" s="19"/>
      <c r="P71" s="19"/>
      <c r="Q71" s="29"/>
    </row>
    <row r="72" spans="1:17" x14ac:dyDescent="0.25">
      <c r="A72" s="156" t="s">
        <v>175</v>
      </c>
      <c r="B72" s="19"/>
      <c r="C72" s="19"/>
      <c r="D72" s="19"/>
      <c r="E72" s="19"/>
      <c r="F72" s="19"/>
      <c r="G72" s="19"/>
      <c r="H72" s="19"/>
      <c r="I72" s="19"/>
      <c r="J72" s="19"/>
      <c r="K72" s="19"/>
      <c r="L72" s="19"/>
      <c r="M72" s="19"/>
      <c r="N72" s="19"/>
      <c r="O72" s="19"/>
      <c r="P72" s="19"/>
      <c r="Q72" s="29"/>
    </row>
    <row r="73" spans="1:17" x14ac:dyDescent="0.25">
      <c r="A73" s="155" t="s">
        <v>213</v>
      </c>
      <c r="B73" s="19"/>
      <c r="C73" s="19"/>
      <c r="D73" s="19"/>
      <c r="E73" s="19"/>
      <c r="F73" s="19"/>
      <c r="G73" s="19"/>
      <c r="H73" s="19"/>
      <c r="I73" s="19"/>
      <c r="J73" s="19"/>
      <c r="K73" s="19"/>
      <c r="L73" s="19"/>
      <c r="M73" s="19"/>
      <c r="N73" s="19"/>
      <c r="O73" s="19"/>
      <c r="P73" s="19"/>
      <c r="Q73" s="29"/>
    </row>
    <row r="74" spans="1:17" x14ac:dyDescent="0.25">
      <c r="A74" s="155" t="s">
        <v>190</v>
      </c>
      <c r="B74" s="19"/>
      <c r="C74" s="19"/>
      <c r="D74" s="19"/>
      <c r="E74" s="19"/>
      <c r="F74" s="19"/>
      <c r="G74" s="19"/>
      <c r="H74" s="19"/>
      <c r="I74" s="19"/>
      <c r="J74" s="19"/>
      <c r="K74" s="19"/>
      <c r="L74" s="19"/>
      <c r="M74" s="19"/>
      <c r="N74" s="19"/>
      <c r="O74" s="19"/>
      <c r="P74" s="19"/>
      <c r="Q74" s="29"/>
    </row>
    <row r="75" spans="1:17" x14ac:dyDescent="0.25">
      <c r="A75" s="156" t="s">
        <v>180</v>
      </c>
      <c r="B75" s="19"/>
      <c r="C75" s="19"/>
      <c r="D75" s="19"/>
      <c r="E75" s="19"/>
      <c r="F75" s="19"/>
      <c r="G75" s="19"/>
      <c r="H75" s="19"/>
      <c r="I75" s="19"/>
      <c r="J75" s="19"/>
      <c r="K75" s="19"/>
      <c r="L75" s="19"/>
      <c r="M75" s="19"/>
      <c r="N75" s="19"/>
      <c r="O75" s="19"/>
      <c r="P75" s="19"/>
      <c r="Q75" s="29"/>
    </row>
    <row r="76" spans="1:17" x14ac:dyDescent="0.25">
      <c r="A76" s="155" t="s">
        <v>215</v>
      </c>
      <c r="B76" s="19"/>
      <c r="C76" s="19"/>
      <c r="D76" s="19"/>
      <c r="E76" s="19"/>
      <c r="F76" s="19"/>
      <c r="G76" s="19"/>
      <c r="H76" s="19"/>
      <c r="I76" s="19"/>
      <c r="J76" s="19"/>
      <c r="K76" s="19"/>
      <c r="L76" s="19"/>
      <c r="M76" s="19"/>
      <c r="N76" s="19"/>
      <c r="O76" s="19"/>
      <c r="P76" s="19"/>
      <c r="Q76" s="29"/>
    </row>
    <row r="77" spans="1:17" x14ac:dyDescent="0.25">
      <c r="A77" s="155" t="s">
        <v>183</v>
      </c>
      <c r="B77" s="19"/>
      <c r="C77" s="19"/>
      <c r="D77" s="19"/>
      <c r="E77" s="19"/>
      <c r="F77" s="19"/>
      <c r="G77" s="19"/>
      <c r="H77" s="19"/>
      <c r="I77" s="19"/>
      <c r="J77" s="19"/>
      <c r="K77" s="19"/>
      <c r="L77" s="19"/>
      <c r="M77" s="19"/>
      <c r="N77" s="19"/>
      <c r="O77" s="19"/>
      <c r="P77" s="19"/>
      <c r="Q77" s="29"/>
    </row>
    <row r="78" spans="1:17" ht="13.8" thickBot="1" x14ac:dyDescent="0.3">
      <c r="A78" s="33"/>
      <c r="B78" s="34"/>
      <c r="C78" s="34"/>
      <c r="D78" s="34"/>
      <c r="E78" s="34"/>
      <c r="F78" s="34"/>
      <c r="G78" s="34"/>
      <c r="H78" s="34"/>
      <c r="I78" s="34"/>
      <c r="J78" s="34"/>
      <c r="K78" s="34"/>
      <c r="L78" s="34"/>
      <c r="M78" s="34"/>
      <c r="N78" s="34"/>
      <c r="O78" s="34"/>
      <c r="P78" s="34"/>
      <c r="Q78" s="35"/>
    </row>
  </sheetData>
  <sheetProtection algorithmName="SHA-512" hashValue="5Q62oV8VGLR07FVN5YasOQr6aEnLo1mVm3vRKmOYvPvbsJ2x7ZZFhVRKMG1m87Cdo4uupZWwFnpiLopcB3MGVg==" saltValue="c6w3/2kJBN77iiMbLNBtdg==" spinCount="100000" sheet="1" selectLockedCells="1"/>
  <mergeCells count="31">
    <mergeCell ref="C8:F8"/>
    <mergeCell ref="O8:P8"/>
    <mergeCell ref="A2:Q2"/>
    <mergeCell ref="A3:Q3"/>
    <mergeCell ref="A5:Q5"/>
    <mergeCell ref="C7:F7"/>
    <mergeCell ref="O7:P7"/>
    <mergeCell ref="A29:Q32"/>
    <mergeCell ref="A34:Q37"/>
    <mergeCell ref="A49:B51"/>
    <mergeCell ref="D49:E49"/>
    <mergeCell ref="G49:I49"/>
    <mergeCell ref="D51:M51"/>
    <mergeCell ref="D50:E50"/>
    <mergeCell ref="G50:I50"/>
    <mergeCell ref="A47:Q47"/>
    <mergeCell ref="A48:B48"/>
    <mergeCell ref="G48:I48"/>
    <mergeCell ref="A39:Q39"/>
    <mergeCell ref="A40:E40"/>
    <mergeCell ref="G40:H40"/>
    <mergeCell ref="J40:N40"/>
    <mergeCell ref="P40:Q40"/>
    <mergeCell ref="A42:E42"/>
    <mergeCell ref="G42:H42"/>
    <mergeCell ref="J42:N42"/>
    <mergeCell ref="P42:Q42"/>
    <mergeCell ref="A44:E44"/>
    <mergeCell ref="G44:H44"/>
    <mergeCell ref="J44:N44"/>
    <mergeCell ref="P44:Q44"/>
  </mergeCells>
  <conditionalFormatting sqref="Q51">
    <cfRule type="expression" dxfId="66" priority="24">
      <formula>Q51&gt;N51</formula>
    </cfRule>
  </conditionalFormatting>
  <conditionalFormatting sqref="L49">
    <cfRule type="expression" dxfId="65" priority="19">
      <formula>L49="No"</formula>
    </cfRule>
  </conditionalFormatting>
  <conditionalFormatting sqref="K49">
    <cfRule type="expression" dxfId="64" priority="20">
      <formula>K49="No"</formula>
    </cfRule>
  </conditionalFormatting>
  <conditionalFormatting sqref="Q49">
    <cfRule type="expression" dxfId="63" priority="1">
      <formula>Q49&gt;N49</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 man="1"/>
    <brk id="52"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Tables!$Q$21:$Q$23</xm:f>
          </x14:formula1>
          <xm:sqref>L49</xm:sqref>
        </x14:dataValidation>
        <x14:dataValidation type="list" allowBlank="1" showInputMessage="1" showErrorMessage="1" xr:uid="{00000000-0002-0000-0A00-000001000000}">
          <x14:formula1>
            <xm:f>Tables!$O$21:$O$23</xm:f>
          </x14:formula1>
          <xm:sqref>K49</xm:sqref>
        </x14:dataValidation>
        <x14:dataValidation type="list" allowBlank="1" showInputMessage="1" showErrorMessage="1" xr:uid="{00000000-0002-0000-0A00-000002000000}">
          <x14:formula1>
            <xm:f>Tables!$U$2:$U$7</xm:f>
          </x14:formula1>
          <xm:sqref>C7:F7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BFAE-DB64-4C04-8524-87BBA574091A}">
  <sheetPr>
    <tabColor rgb="FFFFFF99"/>
    <pageSetUpPr fitToPage="1"/>
  </sheetPr>
  <dimension ref="A1:Q78"/>
  <sheetViews>
    <sheetView topLeftCell="A43" zoomScaleNormal="100" workbookViewId="0">
      <selection activeCell="G49" sqref="G49:I49"/>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JUNIOR HIGH SCHOOL EXTRACURRICULAR STIPEND PAYMENT REQUEST")</f>
        <v>2023-2024 JUNIOR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191</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7"/>
      <c r="Q7" s="157"/>
    </row>
    <row r="8" spans="1:17" ht="19.95" customHeight="1" x14ac:dyDescent="0.3">
      <c r="A8" s="133"/>
      <c r="B8" s="17" t="s">
        <v>163</v>
      </c>
      <c r="C8" s="474"/>
      <c r="D8" s="474"/>
      <c r="E8" s="474"/>
      <c r="F8" s="474"/>
      <c r="G8" s="19"/>
      <c r="H8" s="19"/>
      <c r="I8" s="19"/>
      <c r="J8" s="19"/>
      <c r="K8" s="18"/>
      <c r="L8" s="18"/>
      <c r="M8" s="18"/>
      <c r="N8" s="17" t="s">
        <v>72</v>
      </c>
      <c r="O8" s="469" t="s">
        <v>155</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Athletics Oversight</v>
      </c>
      <c r="B12" s="201"/>
      <c r="C12" s="201"/>
      <c r="D12" s="187">
        <f>+P51</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c r="B13" s="201"/>
      <c r="C13" s="201"/>
      <c r="D13" s="190">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21"/>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202</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169</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11"/>
      <c r="I22" s="19"/>
      <c r="J22" s="19"/>
      <c r="K22" s="19"/>
      <c r="L22" s="119"/>
      <c r="M22" s="119"/>
      <c r="N22" s="119"/>
      <c r="O22" s="119"/>
      <c r="P22" s="124"/>
      <c r="Q22" s="125"/>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513" t="s">
        <v>55</v>
      </c>
      <c r="B49" s="514"/>
      <c r="C49" s="207">
        <f>+'JHS - Positions and Funding'!B6</f>
        <v>2250</v>
      </c>
      <c r="D49" s="446" t="s">
        <v>52</v>
      </c>
      <c r="E49" s="446"/>
      <c r="F49" s="168" t="s">
        <v>79</v>
      </c>
      <c r="G49" s="451"/>
      <c r="H49" s="451"/>
      <c r="I49" s="451"/>
      <c r="J49" s="169"/>
      <c r="K49" s="169"/>
      <c r="L49" s="169"/>
      <c r="M49" s="208" t="s">
        <v>79</v>
      </c>
      <c r="N49" s="209">
        <f>IF(C49&gt;0,C49,0)</f>
        <v>2250</v>
      </c>
      <c r="O49" s="172">
        <v>0</v>
      </c>
      <c r="P49" s="210" t="s">
        <v>79</v>
      </c>
      <c r="Q49" s="173">
        <f>SUM(O49:P49)</f>
        <v>0</v>
      </c>
    </row>
    <row r="50" spans="1:17" ht="19.95" customHeight="1" x14ac:dyDescent="0.25">
      <c r="A50" s="536"/>
      <c r="B50" s="537"/>
      <c r="C50" s="211">
        <v>0</v>
      </c>
      <c r="D50" s="445" t="s">
        <v>53</v>
      </c>
      <c r="E50" s="445"/>
      <c r="F50" s="174" t="s">
        <v>79</v>
      </c>
      <c r="G50" s="538" t="s">
        <v>79</v>
      </c>
      <c r="H50" s="538"/>
      <c r="I50" s="538"/>
      <c r="J50" s="212" t="s">
        <v>79</v>
      </c>
      <c r="K50" s="212" t="s">
        <v>79</v>
      </c>
      <c r="L50" s="212" t="s">
        <v>79</v>
      </c>
      <c r="M50" s="212" t="s">
        <v>79</v>
      </c>
      <c r="N50" s="212" t="s">
        <v>79</v>
      </c>
      <c r="O50" s="212" t="s">
        <v>79</v>
      </c>
      <c r="P50" s="213" t="s">
        <v>79</v>
      </c>
      <c r="Q50" s="222" t="s">
        <v>79</v>
      </c>
    </row>
    <row r="51" spans="1:17" s="142" customFormat="1" ht="19.95" customHeight="1" thickBot="1" x14ac:dyDescent="0.35">
      <c r="A51" s="517"/>
      <c r="B51" s="518"/>
      <c r="C51" s="215"/>
      <c r="D51" s="448" t="str">
        <f>CONCATENATE(A49," Totals")</f>
        <v>Athletics Oversight Totals</v>
      </c>
      <c r="E51" s="448"/>
      <c r="F51" s="448"/>
      <c r="G51" s="448"/>
      <c r="H51" s="448"/>
      <c r="I51" s="448"/>
      <c r="J51" s="448"/>
      <c r="K51" s="448"/>
      <c r="L51" s="448"/>
      <c r="M51" s="449"/>
      <c r="N51" s="216">
        <f>SUM(N49:N50)</f>
        <v>2250</v>
      </c>
      <c r="O51" s="180">
        <f>SUM(O49:O50)</f>
        <v>0</v>
      </c>
      <c r="P51" s="180">
        <f>SUM(P49:P50)</f>
        <v>0</v>
      </c>
      <c r="Q51" s="181">
        <f>SUM(O51:P51)</f>
        <v>0</v>
      </c>
    </row>
    <row r="52" spans="1:17" s="142" customFormat="1" ht="19.95" customHeight="1" thickBot="1" x14ac:dyDescent="0.35">
      <c r="A52" s="182"/>
      <c r="B52" s="183"/>
      <c r="C52" s="183"/>
      <c r="D52" s="183"/>
      <c r="E52" s="183"/>
      <c r="F52" s="197"/>
      <c r="G52" s="183"/>
      <c r="H52" s="183"/>
      <c r="I52" s="183"/>
      <c r="J52" s="183"/>
      <c r="K52" s="183"/>
      <c r="L52" s="183"/>
      <c r="M52" s="184" t="s">
        <v>134</v>
      </c>
      <c r="N52" s="185">
        <f>+N51</f>
        <v>2250</v>
      </c>
      <c r="O52" s="185">
        <f>+O51</f>
        <v>0</v>
      </c>
      <c r="P52" s="185">
        <f>+P51</f>
        <v>0</v>
      </c>
      <c r="Q52" s="186">
        <f>+Q51</f>
        <v>0</v>
      </c>
    </row>
    <row r="53" spans="1:17" ht="12.75" customHeight="1" x14ac:dyDescent="0.25">
      <c r="A53" s="152" t="s">
        <v>178</v>
      </c>
      <c r="B53" s="11"/>
      <c r="C53" s="11"/>
      <c r="D53" s="11"/>
      <c r="E53" s="11"/>
      <c r="F53" s="11"/>
      <c r="G53" s="11"/>
      <c r="H53" s="11"/>
      <c r="I53" s="11"/>
      <c r="J53" s="11"/>
      <c r="K53" s="11"/>
      <c r="L53" s="11"/>
      <c r="M53" s="11"/>
      <c r="N53" s="11"/>
      <c r="O53" s="11"/>
      <c r="P53" s="11"/>
      <c r="Q53" s="132"/>
    </row>
    <row r="54" spans="1:17" ht="12.75" customHeight="1" x14ac:dyDescent="0.25">
      <c r="A54" s="153" t="s">
        <v>170</v>
      </c>
      <c r="B54" s="19"/>
      <c r="C54" s="19"/>
      <c r="D54" s="19"/>
      <c r="E54" s="19"/>
      <c r="F54" s="19"/>
      <c r="G54" s="19"/>
      <c r="H54" s="19"/>
      <c r="I54" s="19"/>
      <c r="J54" s="19"/>
      <c r="K54" s="19"/>
      <c r="L54" s="19"/>
      <c r="M54" s="19"/>
      <c r="N54" s="19"/>
      <c r="O54" s="19"/>
      <c r="P54" s="19"/>
      <c r="Q54" s="29"/>
    </row>
    <row r="55" spans="1:17" ht="12.75" customHeight="1" x14ac:dyDescent="0.25">
      <c r="A55" s="154" t="s">
        <v>179</v>
      </c>
      <c r="B55" s="19"/>
      <c r="C55" s="19"/>
      <c r="D55" s="19"/>
      <c r="E55" s="19"/>
      <c r="F55" s="19"/>
      <c r="G55" s="19"/>
      <c r="H55" s="19"/>
      <c r="I55" s="19"/>
      <c r="J55" s="19"/>
      <c r="K55" s="19"/>
      <c r="L55" s="19"/>
      <c r="M55" s="19"/>
      <c r="N55" s="19"/>
      <c r="O55" s="19"/>
      <c r="P55" s="19"/>
      <c r="Q55" s="29"/>
    </row>
    <row r="56" spans="1:17" ht="12.75" customHeight="1" x14ac:dyDescent="0.25">
      <c r="A56" s="154" t="s">
        <v>207</v>
      </c>
      <c r="B56" s="19"/>
      <c r="C56" s="19"/>
      <c r="D56" s="19"/>
      <c r="E56" s="19"/>
      <c r="F56" s="19"/>
      <c r="G56" s="19"/>
      <c r="H56" s="19"/>
      <c r="I56" s="19"/>
      <c r="J56" s="19"/>
      <c r="K56" s="19"/>
      <c r="L56" s="19"/>
      <c r="M56" s="19"/>
      <c r="N56" s="19"/>
      <c r="O56" s="19"/>
      <c r="P56" s="19"/>
      <c r="Q56" s="29"/>
    </row>
    <row r="57" spans="1:17" ht="12.75" customHeight="1" x14ac:dyDescent="0.25">
      <c r="A57" s="154" t="s">
        <v>208</v>
      </c>
      <c r="B57" s="19"/>
      <c r="C57" s="19"/>
      <c r="D57" s="19"/>
      <c r="E57" s="19"/>
      <c r="F57" s="19"/>
      <c r="G57" s="19"/>
      <c r="H57" s="19"/>
      <c r="I57" s="19"/>
      <c r="J57" s="19"/>
      <c r="K57" s="19"/>
      <c r="L57" s="19"/>
      <c r="M57" s="19"/>
      <c r="N57" s="19"/>
      <c r="O57" s="19"/>
      <c r="P57" s="19"/>
      <c r="Q57" s="29"/>
    </row>
    <row r="58" spans="1:17" ht="12.75" customHeight="1" x14ac:dyDescent="0.25">
      <c r="A58" s="153" t="s">
        <v>171</v>
      </c>
      <c r="B58" s="19"/>
      <c r="C58" s="19"/>
      <c r="D58" s="19"/>
      <c r="E58" s="19"/>
      <c r="F58" s="19"/>
      <c r="G58" s="19"/>
      <c r="H58" s="19"/>
      <c r="I58" s="19"/>
      <c r="J58" s="19"/>
      <c r="K58" s="19"/>
      <c r="L58" s="19"/>
      <c r="M58" s="19"/>
      <c r="N58" s="19"/>
      <c r="O58" s="19"/>
      <c r="P58" s="19"/>
      <c r="Q58" s="29"/>
    </row>
    <row r="59" spans="1:17" ht="12.75" customHeight="1" x14ac:dyDescent="0.25">
      <c r="A59" s="154" t="s">
        <v>182</v>
      </c>
      <c r="B59" s="19"/>
      <c r="C59" s="19"/>
      <c r="D59" s="19"/>
      <c r="E59" s="19"/>
      <c r="F59" s="19"/>
      <c r="G59" s="19"/>
      <c r="H59" s="19"/>
      <c r="I59" s="19"/>
      <c r="J59" s="19"/>
      <c r="K59" s="19"/>
      <c r="L59" s="19"/>
      <c r="M59" s="19"/>
      <c r="N59" s="19"/>
      <c r="O59" s="19"/>
      <c r="P59" s="19"/>
      <c r="Q59" s="29"/>
    </row>
    <row r="60" spans="1:17" ht="12.75" customHeight="1" x14ac:dyDescent="0.25">
      <c r="A60" s="155" t="s">
        <v>177</v>
      </c>
      <c r="B60" s="19"/>
      <c r="C60" s="19"/>
      <c r="D60" s="19"/>
      <c r="E60" s="19"/>
      <c r="F60" s="19"/>
      <c r="G60" s="19"/>
      <c r="H60" s="19"/>
      <c r="I60" s="19"/>
      <c r="J60" s="19"/>
      <c r="K60" s="19"/>
      <c r="L60" s="19"/>
      <c r="M60" s="19"/>
      <c r="N60" s="19"/>
      <c r="O60" s="19"/>
      <c r="P60" s="19"/>
      <c r="Q60" s="29"/>
    </row>
    <row r="61" spans="1:17" ht="12.75" customHeight="1" x14ac:dyDescent="0.25">
      <c r="A61" s="155" t="s">
        <v>209</v>
      </c>
      <c r="B61" s="19"/>
      <c r="C61" s="19"/>
      <c r="D61" s="19"/>
      <c r="E61" s="19"/>
      <c r="F61" s="19"/>
      <c r="G61" s="19"/>
      <c r="H61" s="19"/>
      <c r="I61" s="19"/>
      <c r="J61" s="19"/>
      <c r="K61" s="19"/>
      <c r="L61" s="19"/>
      <c r="M61" s="19"/>
      <c r="N61" s="19"/>
      <c r="O61" s="19"/>
      <c r="P61" s="19"/>
      <c r="Q61" s="29"/>
    </row>
    <row r="62" spans="1:17" ht="12.75" customHeight="1" x14ac:dyDescent="0.25">
      <c r="A62" s="156" t="s">
        <v>172</v>
      </c>
      <c r="B62" s="19"/>
      <c r="C62" s="19"/>
      <c r="D62" s="19"/>
      <c r="E62" s="19"/>
      <c r="F62" s="19"/>
      <c r="G62" s="19"/>
      <c r="H62" s="19"/>
      <c r="I62" s="19"/>
      <c r="J62" s="19"/>
      <c r="K62" s="19"/>
      <c r="L62" s="19"/>
      <c r="M62" s="19"/>
      <c r="N62" s="19"/>
      <c r="O62" s="19"/>
      <c r="P62" s="19"/>
      <c r="Q62" s="29"/>
    </row>
    <row r="63" spans="1:17" ht="12.75" customHeight="1" x14ac:dyDescent="0.25">
      <c r="A63" s="155" t="s">
        <v>211</v>
      </c>
      <c r="B63" s="19"/>
      <c r="C63" s="19"/>
      <c r="D63" s="19"/>
      <c r="E63" s="19"/>
      <c r="F63" s="19"/>
      <c r="G63" s="19"/>
      <c r="H63" s="19"/>
      <c r="I63" s="19"/>
      <c r="J63" s="19"/>
      <c r="K63" s="19"/>
      <c r="L63" s="19"/>
      <c r="M63" s="19"/>
      <c r="N63" s="19"/>
      <c r="O63" s="19"/>
      <c r="P63" s="19"/>
      <c r="Q63" s="29"/>
    </row>
    <row r="64" spans="1:17" ht="12.75" customHeight="1" x14ac:dyDescent="0.25">
      <c r="A64" s="155" t="s">
        <v>210</v>
      </c>
      <c r="B64" s="19"/>
      <c r="C64" s="19"/>
      <c r="D64" s="19"/>
      <c r="E64" s="19"/>
      <c r="F64" s="19"/>
      <c r="G64" s="19"/>
      <c r="H64" s="19"/>
      <c r="I64" s="19"/>
      <c r="J64" s="19"/>
      <c r="K64" s="19"/>
      <c r="L64" s="19"/>
      <c r="M64" s="19"/>
      <c r="N64" s="19"/>
      <c r="O64" s="19"/>
      <c r="P64" s="19"/>
      <c r="Q64" s="29"/>
    </row>
    <row r="65" spans="1:17" x14ac:dyDescent="0.25">
      <c r="A65" s="156" t="s">
        <v>173</v>
      </c>
      <c r="B65" s="19"/>
      <c r="C65" s="19"/>
      <c r="D65" s="19"/>
      <c r="E65" s="19"/>
      <c r="F65" s="19"/>
      <c r="G65" s="19"/>
      <c r="H65" s="19"/>
      <c r="I65" s="19"/>
      <c r="J65" s="19"/>
      <c r="K65" s="19"/>
      <c r="L65" s="19"/>
      <c r="M65" s="19"/>
      <c r="N65" s="19"/>
      <c r="O65" s="19"/>
      <c r="P65" s="19"/>
      <c r="Q65" s="29"/>
    </row>
    <row r="66" spans="1:17" x14ac:dyDescent="0.25">
      <c r="A66" s="155" t="s">
        <v>181</v>
      </c>
      <c r="B66" s="19"/>
      <c r="C66" s="19"/>
      <c r="D66" s="19"/>
      <c r="E66" s="19"/>
      <c r="F66" s="19"/>
      <c r="G66" s="19"/>
      <c r="H66" s="19"/>
      <c r="I66" s="19"/>
      <c r="J66" s="19"/>
      <c r="K66" s="19"/>
      <c r="L66" s="19"/>
      <c r="M66" s="19"/>
      <c r="N66" s="19"/>
      <c r="O66" s="19"/>
      <c r="P66" s="19"/>
      <c r="Q66" s="29"/>
    </row>
    <row r="67" spans="1:17" x14ac:dyDescent="0.25">
      <c r="A67" s="155" t="s">
        <v>176</v>
      </c>
      <c r="B67" s="19"/>
      <c r="C67" s="19"/>
      <c r="D67" s="19"/>
      <c r="E67" s="19"/>
      <c r="F67" s="19"/>
      <c r="G67" s="19"/>
      <c r="H67" s="19"/>
      <c r="I67" s="19"/>
      <c r="J67" s="19"/>
      <c r="K67" s="19"/>
      <c r="L67" s="19"/>
      <c r="M67" s="19"/>
      <c r="N67" s="19"/>
      <c r="O67" s="19"/>
      <c r="P67" s="19"/>
      <c r="Q67" s="29"/>
    </row>
    <row r="68" spans="1:17" x14ac:dyDescent="0.25">
      <c r="A68" s="155" t="s">
        <v>212</v>
      </c>
      <c r="B68" s="19"/>
      <c r="C68" s="19"/>
      <c r="D68" s="19"/>
      <c r="E68" s="19"/>
      <c r="F68" s="19"/>
      <c r="G68" s="19"/>
      <c r="H68" s="19"/>
      <c r="I68" s="19"/>
      <c r="J68" s="19"/>
      <c r="K68" s="19"/>
      <c r="L68" s="19"/>
      <c r="M68" s="19"/>
      <c r="N68" s="19"/>
      <c r="O68" s="19"/>
      <c r="P68" s="19"/>
      <c r="Q68" s="29"/>
    </row>
    <row r="69" spans="1:17" x14ac:dyDescent="0.25">
      <c r="A69" s="156" t="s">
        <v>174</v>
      </c>
      <c r="B69" s="19"/>
      <c r="C69" s="19"/>
      <c r="D69" s="19"/>
      <c r="E69" s="19"/>
      <c r="F69" s="19"/>
      <c r="G69" s="19"/>
      <c r="H69" s="19"/>
      <c r="I69" s="19"/>
      <c r="J69" s="19"/>
      <c r="K69" s="19"/>
      <c r="L69" s="19"/>
      <c r="M69" s="19"/>
      <c r="N69" s="19"/>
      <c r="O69" s="19"/>
      <c r="P69" s="19"/>
      <c r="Q69" s="29"/>
    </row>
    <row r="70" spans="1:17" x14ac:dyDescent="0.25">
      <c r="A70" s="155" t="s">
        <v>213</v>
      </c>
      <c r="B70" s="19"/>
      <c r="C70" s="19"/>
      <c r="D70" s="19"/>
      <c r="E70" s="19"/>
      <c r="F70" s="19"/>
      <c r="G70" s="19"/>
      <c r="H70" s="19"/>
      <c r="I70" s="19"/>
      <c r="J70" s="19"/>
      <c r="K70" s="19"/>
      <c r="L70" s="19"/>
      <c r="M70" s="19"/>
      <c r="N70" s="19"/>
      <c r="O70" s="19"/>
      <c r="P70" s="19"/>
      <c r="Q70" s="29"/>
    </row>
    <row r="71" spans="1:17" x14ac:dyDescent="0.25">
      <c r="A71" s="155" t="s">
        <v>214</v>
      </c>
      <c r="B71" s="19"/>
      <c r="C71" s="19"/>
      <c r="D71" s="19"/>
      <c r="E71" s="19"/>
      <c r="F71" s="19"/>
      <c r="G71" s="19"/>
      <c r="H71" s="19"/>
      <c r="I71" s="19"/>
      <c r="J71" s="19"/>
      <c r="K71" s="19"/>
      <c r="L71" s="19"/>
      <c r="M71" s="19"/>
      <c r="N71" s="19"/>
      <c r="O71" s="19"/>
      <c r="P71" s="19"/>
      <c r="Q71" s="29"/>
    </row>
    <row r="72" spans="1:17" x14ac:dyDescent="0.25">
      <c r="A72" s="156" t="s">
        <v>175</v>
      </c>
      <c r="B72" s="19"/>
      <c r="C72" s="19"/>
      <c r="D72" s="19"/>
      <c r="E72" s="19"/>
      <c r="F72" s="19"/>
      <c r="G72" s="19"/>
      <c r="H72" s="19"/>
      <c r="I72" s="19"/>
      <c r="J72" s="19"/>
      <c r="K72" s="19"/>
      <c r="L72" s="19"/>
      <c r="M72" s="19"/>
      <c r="N72" s="19"/>
      <c r="O72" s="19"/>
      <c r="P72" s="19"/>
      <c r="Q72" s="29"/>
    </row>
    <row r="73" spans="1:17" x14ac:dyDescent="0.25">
      <c r="A73" s="155" t="s">
        <v>213</v>
      </c>
      <c r="B73" s="19"/>
      <c r="C73" s="19"/>
      <c r="D73" s="19"/>
      <c r="E73" s="19"/>
      <c r="F73" s="19"/>
      <c r="G73" s="19"/>
      <c r="H73" s="19"/>
      <c r="I73" s="19"/>
      <c r="J73" s="19"/>
      <c r="K73" s="19"/>
      <c r="L73" s="19"/>
      <c r="M73" s="19"/>
      <c r="N73" s="19"/>
      <c r="O73" s="19"/>
      <c r="P73" s="19"/>
      <c r="Q73" s="29"/>
    </row>
    <row r="74" spans="1:17" x14ac:dyDescent="0.25">
      <c r="A74" s="155" t="s">
        <v>190</v>
      </c>
      <c r="B74" s="19"/>
      <c r="C74" s="19"/>
      <c r="D74" s="19"/>
      <c r="E74" s="19"/>
      <c r="F74" s="19"/>
      <c r="G74" s="19"/>
      <c r="H74" s="19"/>
      <c r="I74" s="19"/>
      <c r="J74" s="19"/>
      <c r="K74" s="19"/>
      <c r="L74" s="19"/>
      <c r="M74" s="19"/>
      <c r="N74" s="19"/>
      <c r="O74" s="19"/>
      <c r="P74" s="19"/>
      <c r="Q74" s="29"/>
    </row>
    <row r="75" spans="1:17" x14ac:dyDescent="0.25">
      <c r="A75" s="156" t="s">
        <v>180</v>
      </c>
      <c r="B75" s="19"/>
      <c r="C75" s="19"/>
      <c r="D75" s="19"/>
      <c r="E75" s="19"/>
      <c r="F75" s="19"/>
      <c r="G75" s="19"/>
      <c r="H75" s="19"/>
      <c r="I75" s="19"/>
      <c r="J75" s="19"/>
      <c r="K75" s="19"/>
      <c r="L75" s="19"/>
      <c r="M75" s="19"/>
      <c r="N75" s="19"/>
      <c r="O75" s="19"/>
      <c r="P75" s="19"/>
      <c r="Q75" s="29"/>
    </row>
    <row r="76" spans="1:17" x14ac:dyDescent="0.25">
      <c r="A76" s="155" t="s">
        <v>215</v>
      </c>
      <c r="B76" s="19"/>
      <c r="C76" s="19"/>
      <c r="D76" s="19"/>
      <c r="E76" s="19"/>
      <c r="F76" s="19"/>
      <c r="G76" s="19"/>
      <c r="H76" s="19"/>
      <c r="I76" s="19"/>
      <c r="J76" s="19"/>
      <c r="K76" s="19"/>
      <c r="L76" s="19"/>
      <c r="M76" s="19"/>
      <c r="N76" s="19"/>
      <c r="O76" s="19"/>
      <c r="P76" s="19"/>
      <c r="Q76" s="29"/>
    </row>
    <row r="77" spans="1:17" x14ac:dyDescent="0.25">
      <c r="A77" s="155" t="s">
        <v>183</v>
      </c>
      <c r="B77" s="19"/>
      <c r="C77" s="19"/>
      <c r="D77" s="19"/>
      <c r="E77" s="19"/>
      <c r="F77" s="19"/>
      <c r="G77" s="19"/>
      <c r="H77" s="19"/>
      <c r="I77" s="19"/>
      <c r="J77" s="19"/>
      <c r="K77" s="19"/>
      <c r="L77" s="19"/>
      <c r="M77" s="19"/>
      <c r="N77" s="19"/>
      <c r="O77" s="19"/>
      <c r="P77" s="19"/>
      <c r="Q77" s="29"/>
    </row>
    <row r="78" spans="1:17" ht="13.8" thickBot="1" x14ac:dyDescent="0.3">
      <c r="A78" s="33"/>
      <c r="B78" s="34"/>
      <c r="C78" s="34"/>
      <c r="D78" s="34"/>
      <c r="E78" s="34"/>
      <c r="F78" s="34"/>
      <c r="G78" s="34"/>
      <c r="H78" s="34"/>
      <c r="I78" s="34"/>
      <c r="J78" s="34"/>
      <c r="K78" s="34"/>
      <c r="L78" s="34"/>
      <c r="M78" s="34"/>
      <c r="N78" s="34"/>
      <c r="O78" s="34"/>
      <c r="P78" s="34"/>
      <c r="Q78" s="35"/>
    </row>
  </sheetData>
  <sheetProtection algorithmName="SHA-512" hashValue="1aZWRrkwGgVEEuBEq0PyJzJY9Vz9RK+N7ObhPX4d7qIHNPggC6M+EuyYEdkGAcz1tu5P3m0bZThbbI+/sUJoDg==" saltValue="bJ7lDb5ie8EfKSolnKnsPQ==" spinCount="100000" sheet="1" selectLockedCells="1"/>
  <mergeCells count="31">
    <mergeCell ref="C8:F8"/>
    <mergeCell ref="O8:P8"/>
    <mergeCell ref="A2:Q2"/>
    <mergeCell ref="A3:Q3"/>
    <mergeCell ref="A5:Q5"/>
    <mergeCell ref="C7:F7"/>
    <mergeCell ref="O7:P7"/>
    <mergeCell ref="A42:E42"/>
    <mergeCell ref="G42:H42"/>
    <mergeCell ref="J42:N42"/>
    <mergeCell ref="P42:Q42"/>
    <mergeCell ref="A29:Q32"/>
    <mergeCell ref="A34:Q37"/>
    <mergeCell ref="A39:Q39"/>
    <mergeCell ref="A40:E40"/>
    <mergeCell ref="G40:H40"/>
    <mergeCell ref="J40:N40"/>
    <mergeCell ref="P40:Q40"/>
    <mergeCell ref="A44:E44"/>
    <mergeCell ref="G44:H44"/>
    <mergeCell ref="J44:N44"/>
    <mergeCell ref="P44:Q44"/>
    <mergeCell ref="D50:E50"/>
    <mergeCell ref="G50:I50"/>
    <mergeCell ref="A48:B48"/>
    <mergeCell ref="G48:I48"/>
    <mergeCell ref="A49:B51"/>
    <mergeCell ref="D49:E49"/>
    <mergeCell ref="G49:I49"/>
    <mergeCell ref="D51:M51"/>
    <mergeCell ref="A47:Q47"/>
  </mergeCells>
  <conditionalFormatting sqref="Q51">
    <cfRule type="expression" dxfId="62" priority="11">
      <formula>Q51&gt;N51</formula>
    </cfRule>
  </conditionalFormatting>
  <conditionalFormatting sqref="K49">
    <cfRule type="expression" dxfId="61" priority="8">
      <formula>K49="No"</formula>
    </cfRule>
  </conditionalFormatting>
  <conditionalFormatting sqref="L49">
    <cfRule type="expression" dxfId="60" priority="6">
      <formula>L49="No"</formula>
    </cfRule>
  </conditionalFormatting>
  <conditionalFormatting sqref="O51">
    <cfRule type="expression" dxfId="59" priority="12">
      <formula>O51&gt;C49</formula>
    </cfRule>
  </conditionalFormatting>
  <conditionalFormatting sqref="Q49">
    <cfRule type="expression" dxfId="58" priority="5">
      <formula>Q49&gt;N49</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52" max="16383" man="1"/>
  </rowBreaks>
  <colBreaks count="1" manualBreakCount="1">
    <brk id="11"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38415B6-82E2-4FF3-B8EF-078F1643A21F}">
          <x14:formula1>
            <xm:f>Tables!$O$21:$O$23</xm:f>
          </x14:formula1>
          <xm:sqref>K49</xm:sqref>
        </x14:dataValidation>
        <x14:dataValidation type="list" allowBlank="1" showInputMessage="1" showErrorMessage="1" xr:uid="{686155CF-9197-49B0-9BEF-C726C3EC77C6}">
          <x14:formula1>
            <xm:f>Tables!$Q$21:$Q$23</xm:f>
          </x14:formula1>
          <xm:sqref>L49</xm:sqref>
        </x14:dataValidation>
        <x14:dataValidation type="list" allowBlank="1" showInputMessage="1" showErrorMessage="1" xr:uid="{61DE6FCC-401E-4199-ABA9-9108243804E4}">
          <x14:formula1>
            <xm:f>Tables!$U$2:$U$7</xm:f>
          </x14:formula1>
          <xm:sqref>C7:F7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Q84"/>
  <sheetViews>
    <sheetView topLeftCell="A40" zoomScaleNormal="100" workbookViewId="0">
      <selection activeCell="G52" sqref="G52:I5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JUNIOR HIGH SCHOOL EXTRACURRICULAR STIPEND PAYMENT REQUEST")</f>
        <v>2023-2024 JUNIOR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164</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156</v>
      </c>
      <c r="P7" s="467"/>
      <c r="Q7" s="157"/>
    </row>
    <row r="8" spans="1:17" ht="19.95" customHeight="1" x14ac:dyDescent="0.3">
      <c r="A8" s="133"/>
      <c r="B8" s="17" t="s">
        <v>163</v>
      </c>
      <c r="C8" s="474"/>
      <c r="D8" s="474"/>
      <c r="E8" s="474"/>
      <c r="F8" s="474"/>
      <c r="G8" s="19"/>
      <c r="H8" s="19"/>
      <c r="I8" s="19"/>
      <c r="J8" s="19"/>
      <c r="K8" s="18"/>
      <c r="L8" s="18"/>
      <c r="M8" s="18"/>
      <c r="N8" s="17" t="s">
        <v>72</v>
      </c>
      <c r="O8" s="469" t="s">
        <v>157</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Wrestling</v>
      </c>
      <c r="B12" s="201"/>
      <c r="C12" s="201"/>
      <c r="D12" s="187">
        <f>+P57</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c r="B13" s="201"/>
      <c r="C13" s="201"/>
      <c r="D13" s="190">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00"/>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205</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201</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513" t="s">
        <v>13</v>
      </c>
      <c r="B49" s="514"/>
      <c r="C49" s="207">
        <f>+'JHS - Positions and Funding'!B30</f>
        <v>1400</v>
      </c>
      <c r="D49" s="446" t="s">
        <v>57</v>
      </c>
      <c r="E49" s="446"/>
      <c r="F49" s="168" t="s">
        <v>79</v>
      </c>
      <c r="G49" s="451"/>
      <c r="H49" s="451"/>
      <c r="I49" s="451"/>
      <c r="J49" s="169"/>
      <c r="K49" s="169"/>
      <c r="L49" s="169"/>
      <c r="M49" s="208" t="s">
        <v>79</v>
      </c>
      <c r="N49" s="209">
        <f>IF(C49&gt;0,C49,0)</f>
        <v>1400</v>
      </c>
      <c r="O49" s="172">
        <v>0</v>
      </c>
      <c r="P49" s="210" t="s">
        <v>79</v>
      </c>
      <c r="Q49" s="173">
        <f>SUM(O49:P49)</f>
        <v>0</v>
      </c>
    </row>
    <row r="50" spans="1:17" ht="19.95" customHeight="1" x14ac:dyDescent="0.25">
      <c r="A50" s="515"/>
      <c r="B50" s="516"/>
      <c r="C50" s="211">
        <f>+'JHS - Positions and Funding'!B31</f>
        <v>850</v>
      </c>
      <c r="D50" s="445" t="s">
        <v>56</v>
      </c>
      <c r="E50" s="445"/>
      <c r="F50" s="174" t="s">
        <v>79</v>
      </c>
      <c r="G50" s="450"/>
      <c r="H50" s="450"/>
      <c r="I50" s="450"/>
      <c r="J50" s="175"/>
      <c r="K50" s="175"/>
      <c r="L50" s="175"/>
      <c r="M50" s="212" t="s">
        <v>79</v>
      </c>
      <c r="N50" s="176">
        <f>IF(C50&gt;0,C50,0)</f>
        <v>850</v>
      </c>
      <c r="O50" s="177">
        <v>0</v>
      </c>
      <c r="P50" s="213" t="s">
        <v>79</v>
      </c>
      <c r="Q50" s="178">
        <f t="shared" ref="Q50" si="2">SUM(O50:P50)</f>
        <v>0</v>
      </c>
    </row>
    <row r="51" spans="1:17" ht="19.95" customHeight="1" x14ac:dyDescent="0.25">
      <c r="A51" s="515"/>
      <c r="B51" s="516"/>
      <c r="C51" s="214">
        <v>0</v>
      </c>
      <c r="D51" s="445" t="s">
        <v>56</v>
      </c>
      <c r="E51" s="445"/>
      <c r="F51" s="174" t="s">
        <v>79</v>
      </c>
      <c r="G51" s="450"/>
      <c r="H51" s="450"/>
      <c r="I51" s="450"/>
      <c r="J51" s="175"/>
      <c r="K51" s="175"/>
      <c r="L51" s="175"/>
      <c r="M51" s="212" t="s">
        <v>79</v>
      </c>
      <c r="N51" s="176">
        <f>IF(C50&gt;0,C50,0)</f>
        <v>850</v>
      </c>
      <c r="O51" s="212" t="s">
        <v>79</v>
      </c>
      <c r="P51" s="177">
        <v>0</v>
      </c>
      <c r="Q51" s="178">
        <f>+P51</f>
        <v>0</v>
      </c>
    </row>
    <row r="52" spans="1:17" ht="19.95" customHeight="1" x14ac:dyDescent="0.25">
      <c r="A52" s="515"/>
      <c r="B52" s="516"/>
      <c r="C52" s="214">
        <v>0</v>
      </c>
      <c r="D52" s="445" t="s">
        <v>56</v>
      </c>
      <c r="E52" s="445"/>
      <c r="F52" s="174" t="s">
        <v>79</v>
      </c>
      <c r="G52" s="450"/>
      <c r="H52" s="450"/>
      <c r="I52" s="450"/>
      <c r="J52" s="175"/>
      <c r="K52" s="175"/>
      <c r="L52" s="175"/>
      <c r="M52" s="212" t="s">
        <v>79</v>
      </c>
      <c r="N52" s="176">
        <f>IF(C50&gt;0,C50,0)</f>
        <v>850</v>
      </c>
      <c r="O52" s="212" t="s">
        <v>79</v>
      </c>
      <c r="P52" s="177">
        <v>0</v>
      </c>
      <c r="Q52" s="178">
        <f t="shared" ref="Q52:Q56" si="3">+P52</f>
        <v>0</v>
      </c>
    </row>
    <row r="53" spans="1:17" ht="19.95" customHeight="1" x14ac:dyDescent="0.25">
      <c r="A53" s="515"/>
      <c r="B53" s="516"/>
      <c r="C53" s="214">
        <v>0</v>
      </c>
      <c r="D53" s="445" t="s">
        <v>56</v>
      </c>
      <c r="E53" s="445"/>
      <c r="F53" s="174" t="s">
        <v>79</v>
      </c>
      <c r="G53" s="450"/>
      <c r="H53" s="450"/>
      <c r="I53" s="450"/>
      <c r="J53" s="175"/>
      <c r="K53" s="175"/>
      <c r="L53" s="175"/>
      <c r="M53" s="212" t="s">
        <v>79</v>
      </c>
      <c r="N53" s="176">
        <f>IF(C50&gt;0,C50,0)</f>
        <v>850</v>
      </c>
      <c r="O53" s="212" t="s">
        <v>79</v>
      </c>
      <c r="P53" s="177">
        <v>0</v>
      </c>
      <c r="Q53" s="178">
        <f t="shared" si="3"/>
        <v>0</v>
      </c>
    </row>
    <row r="54" spans="1:17" ht="19.95" customHeight="1" x14ac:dyDescent="0.25">
      <c r="A54" s="515"/>
      <c r="B54" s="516"/>
      <c r="C54" s="214">
        <v>0</v>
      </c>
      <c r="D54" s="445" t="s">
        <v>56</v>
      </c>
      <c r="E54" s="445"/>
      <c r="F54" s="174" t="s">
        <v>79</v>
      </c>
      <c r="G54" s="450"/>
      <c r="H54" s="450"/>
      <c r="I54" s="450"/>
      <c r="J54" s="175"/>
      <c r="K54" s="175"/>
      <c r="L54" s="175"/>
      <c r="M54" s="212" t="s">
        <v>79</v>
      </c>
      <c r="N54" s="176">
        <f>IF(C50&gt;0,C50,0)</f>
        <v>850</v>
      </c>
      <c r="O54" s="212" t="s">
        <v>79</v>
      </c>
      <c r="P54" s="177">
        <v>0</v>
      </c>
      <c r="Q54" s="178">
        <f t="shared" si="3"/>
        <v>0</v>
      </c>
    </row>
    <row r="55" spans="1:17" ht="19.95" customHeight="1" x14ac:dyDescent="0.25">
      <c r="A55" s="515"/>
      <c r="B55" s="516"/>
      <c r="C55" s="214">
        <v>0</v>
      </c>
      <c r="D55" s="445" t="s">
        <v>56</v>
      </c>
      <c r="E55" s="445"/>
      <c r="F55" s="174" t="s">
        <v>79</v>
      </c>
      <c r="G55" s="450"/>
      <c r="H55" s="450"/>
      <c r="I55" s="450"/>
      <c r="J55" s="175"/>
      <c r="K55" s="175"/>
      <c r="L55" s="175"/>
      <c r="M55" s="212" t="s">
        <v>79</v>
      </c>
      <c r="N55" s="176">
        <f>IF(C50&gt;0,C50,0)</f>
        <v>850</v>
      </c>
      <c r="O55" s="212" t="s">
        <v>79</v>
      </c>
      <c r="P55" s="177">
        <v>0</v>
      </c>
      <c r="Q55" s="178">
        <f t="shared" si="3"/>
        <v>0</v>
      </c>
    </row>
    <row r="56" spans="1:17" ht="19.95" customHeight="1" x14ac:dyDescent="0.25">
      <c r="A56" s="515"/>
      <c r="B56" s="516"/>
      <c r="C56" s="214">
        <v>0</v>
      </c>
      <c r="D56" s="445" t="s">
        <v>56</v>
      </c>
      <c r="E56" s="445"/>
      <c r="F56" s="174" t="s">
        <v>79</v>
      </c>
      <c r="G56" s="450"/>
      <c r="H56" s="450"/>
      <c r="I56" s="450"/>
      <c r="J56" s="175"/>
      <c r="K56" s="175"/>
      <c r="L56" s="175"/>
      <c r="M56" s="212" t="s">
        <v>79</v>
      </c>
      <c r="N56" s="176">
        <f>IF(C50&gt;0,C50,0)</f>
        <v>850</v>
      </c>
      <c r="O56" s="212" t="s">
        <v>79</v>
      </c>
      <c r="P56" s="177">
        <v>0</v>
      </c>
      <c r="Q56" s="178">
        <f t="shared" si="3"/>
        <v>0</v>
      </c>
    </row>
    <row r="57" spans="1:17" s="143" customFormat="1" ht="19.95" customHeight="1" thickBot="1" x14ac:dyDescent="0.35">
      <c r="A57" s="517"/>
      <c r="B57" s="518"/>
      <c r="C57" s="220"/>
      <c r="D57" s="448" t="str">
        <f>CONCATENATE(A49," Totals")</f>
        <v>Wrestling Totals</v>
      </c>
      <c r="E57" s="448"/>
      <c r="F57" s="448"/>
      <c r="G57" s="448"/>
      <c r="H57" s="448"/>
      <c r="I57" s="448"/>
      <c r="J57" s="448"/>
      <c r="K57" s="448"/>
      <c r="L57" s="448"/>
      <c r="M57" s="449"/>
      <c r="N57" s="216">
        <f>SUM(N49:N56)</f>
        <v>7350</v>
      </c>
      <c r="O57" s="180">
        <f t="shared" ref="O57:P57" si="4">SUM(O49:O56)</f>
        <v>0</v>
      </c>
      <c r="P57" s="180">
        <f t="shared" si="4"/>
        <v>0</v>
      </c>
      <c r="Q57" s="181">
        <f t="shared" ref="Q57" si="5">SUM(O57:P57)</f>
        <v>0</v>
      </c>
    </row>
    <row r="58" spans="1:17" s="142" customFormat="1" ht="19.95" customHeight="1" thickBot="1" x14ac:dyDescent="0.35">
      <c r="A58" s="182"/>
      <c r="B58" s="183"/>
      <c r="C58" s="183"/>
      <c r="D58" s="183"/>
      <c r="E58" s="183"/>
      <c r="F58" s="197"/>
      <c r="G58" s="183"/>
      <c r="H58" s="183"/>
      <c r="I58" s="183"/>
      <c r="J58" s="183"/>
      <c r="K58" s="183"/>
      <c r="L58" s="183"/>
      <c r="M58" s="184" t="s">
        <v>134</v>
      </c>
      <c r="N58" s="185">
        <f>+N57</f>
        <v>7350</v>
      </c>
      <c r="O58" s="185">
        <f>+O57</f>
        <v>0</v>
      </c>
      <c r="P58" s="185">
        <f>+P57</f>
        <v>0</v>
      </c>
      <c r="Q58" s="186">
        <f>+Q57</f>
        <v>0</v>
      </c>
    </row>
    <row r="59" spans="1:17" ht="12.75" customHeight="1" x14ac:dyDescent="0.25">
      <c r="A59" s="152" t="s">
        <v>178</v>
      </c>
      <c r="B59" s="11"/>
      <c r="C59" s="11"/>
      <c r="D59" s="11"/>
      <c r="E59" s="11"/>
      <c r="F59" s="11"/>
      <c r="G59" s="11"/>
      <c r="H59" s="11"/>
      <c r="I59" s="11"/>
      <c r="J59" s="11"/>
      <c r="K59" s="11"/>
      <c r="L59" s="11"/>
      <c r="M59" s="11"/>
      <c r="N59" s="11"/>
      <c r="O59" s="11"/>
      <c r="P59" s="11"/>
      <c r="Q59" s="132"/>
    </row>
    <row r="60" spans="1:17" ht="12.75" customHeight="1" x14ac:dyDescent="0.25">
      <c r="A60" s="153" t="s">
        <v>170</v>
      </c>
      <c r="B60" s="19"/>
      <c r="C60" s="19"/>
      <c r="D60" s="19"/>
      <c r="E60" s="19"/>
      <c r="F60" s="19"/>
      <c r="G60" s="19"/>
      <c r="H60" s="19"/>
      <c r="I60" s="19"/>
      <c r="J60" s="19"/>
      <c r="K60" s="19"/>
      <c r="L60" s="19"/>
      <c r="M60" s="19"/>
      <c r="N60" s="19"/>
      <c r="O60" s="19"/>
      <c r="P60" s="19"/>
      <c r="Q60" s="29"/>
    </row>
    <row r="61" spans="1:17" ht="12.75" customHeight="1" x14ac:dyDescent="0.25">
      <c r="A61" s="154" t="s">
        <v>179</v>
      </c>
      <c r="B61" s="19"/>
      <c r="C61" s="19"/>
      <c r="D61" s="19"/>
      <c r="E61" s="19"/>
      <c r="F61" s="19"/>
      <c r="G61" s="19"/>
      <c r="H61" s="19"/>
      <c r="I61" s="19"/>
      <c r="J61" s="19"/>
      <c r="K61" s="19"/>
      <c r="L61" s="19"/>
      <c r="M61" s="19"/>
      <c r="N61" s="19"/>
      <c r="O61" s="19"/>
      <c r="P61" s="19"/>
      <c r="Q61" s="29"/>
    </row>
    <row r="62" spans="1:17" ht="12.75" customHeight="1" x14ac:dyDescent="0.25">
      <c r="A62" s="154" t="s">
        <v>207</v>
      </c>
      <c r="B62" s="19"/>
      <c r="C62" s="19"/>
      <c r="D62" s="19"/>
      <c r="E62" s="19"/>
      <c r="F62" s="19"/>
      <c r="G62" s="19"/>
      <c r="H62" s="19"/>
      <c r="I62" s="19"/>
      <c r="J62" s="19"/>
      <c r="K62" s="19"/>
      <c r="L62" s="19"/>
      <c r="M62" s="19"/>
      <c r="N62" s="19"/>
      <c r="O62" s="19"/>
      <c r="P62" s="19"/>
      <c r="Q62" s="29"/>
    </row>
    <row r="63" spans="1:17" ht="12.75" customHeight="1" x14ac:dyDescent="0.25">
      <c r="A63" s="154" t="s">
        <v>208</v>
      </c>
      <c r="B63" s="19"/>
      <c r="C63" s="19"/>
      <c r="D63" s="19"/>
      <c r="E63" s="19"/>
      <c r="F63" s="19"/>
      <c r="G63" s="19"/>
      <c r="H63" s="19"/>
      <c r="I63" s="19"/>
      <c r="J63" s="19"/>
      <c r="K63" s="19"/>
      <c r="L63" s="19"/>
      <c r="M63" s="19"/>
      <c r="N63" s="19"/>
      <c r="O63" s="19"/>
      <c r="P63" s="19"/>
      <c r="Q63" s="29"/>
    </row>
    <row r="64" spans="1:17" ht="12.75" customHeight="1" x14ac:dyDescent="0.25">
      <c r="A64" s="153" t="s">
        <v>171</v>
      </c>
      <c r="B64" s="19"/>
      <c r="C64" s="19"/>
      <c r="D64" s="19"/>
      <c r="E64" s="19"/>
      <c r="F64" s="19"/>
      <c r="G64" s="19"/>
      <c r="H64" s="19"/>
      <c r="I64" s="19"/>
      <c r="J64" s="19"/>
      <c r="K64" s="19"/>
      <c r="L64" s="19"/>
      <c r="M64" s="19"/>
      <c r="N64" s="19"/>
      <c r="O64" s="19"/>
      <c r="P64" s="19"/>
      <c r="Q64" s="29"/>
    </row>
    <row r="65" spans="1:17" ht="12.75" customHeight="1" x14ac:dyDescent="0.25">
      <c r="A65" s="154" t="s">
        <v>182</v>
      </c>
      <c r="B65" s="19"/>
      <c r="C65" s="19"/>
      <c r="D65" s="19"/>
      <c r="E65" s="19"/>
      <c r="F65" s="19"/>
      <c r="G65" s="19"/>
      <c r="H65" s="19"/>
      <c r="I65" s="19"/>
      <c r="J65" s="19"/>
      <c r="K65" s="19"/>
      <c r="L65" s="19"/>
      <c r="M65" s="19"/>
      <c r="N65" s="19"/>
      <c r="O65" s="19"/>
      <c r="P65" s="19"/>
      <c r="Q65" s="29"/>
    </row>
    <row r="66" spans="1:17" ht="12.75" customHeight="1" x14ac:dyDescent="0.25">
      <c r="A66" s="155" t="s">
        <v>177</v>
      </c>
      <c r="B66" s="19"/>
      <c r="C66" s="19"/>
      <c r="D66" s="19"/>
      <c r="E66" s="19"/>
      <c r="F66" s="19"/>
      <c r="G66" s="19"/>
      <c r="H66" s="19"/>
      <c r="I66" s="19"/>
      <c r="J66" s="19"/>
      <c r="K66" s="19"/>
      <c r="L66" s="19"/>
      <c r="M66" s="19"/>
      <c r="N66" s="19"/>
      <c r="O66" s="19"/>
      <c r="P66" s="19"/>
      <c r="Q66" s="29"/>
    </row>
    <row r="67" spans="1:17" ht="12.75" customHeight="1" x14ac:dyDescent="0.25">
      <c r="A67" s="155" t="s">
        <v>209</v>
      </c>
      <c r="B67" s="19"/>
      <c r="C67" s="19"/>
      <c r="D67" s="19"/>
      <c r="E67" s="19"/>
      <c r="F67" s="19"/>
      <c r="G67" s="19"/>
      <c r="H67" s="19"/>
      <c r="I67" s="19"/>
      <c r="J67" s="19"/>
      <c r="K67" s="19"/>
      <c r="L67" s="19"/>
      <c r="M67" s="19"/>
      <c r="N67" s="19"/>
      <c r="O67" s="19"/>
      <c r="P67" s="19"/>
      <c r="Q67" s="29"/>
    </row>
    <row r="68" spans="1:17" ht="12.75" customHeight="1" x14ac:dyDescent="0.25">
      <c r="A68" s="156" t="s">
        <v>172</v>
      </c>
      <c r="B68" s="19"/>
      <c r="C68" s="19"/>
      <c r="D68" s="19"/>
      <c r="E68" s="19"/>
      <c r="F68" s="19"/>
      <c r="G68" s="19"/>
      <c r="H68" s="19"/>
      <c r="I68" s="19"/>
      <c r="J68" s="19"/>
      <c r="K68" s="19"/>
      <c r="L68" s="19"/>
      <c r="M68" s="19"/>
      <c r="N68" s="19"/>
      <c r="O68" s="19"/>
      <c r="P68" s="19"/>
      <c r="Q68" s="29"/>
    </row>
    <row r="69" spans="1:17" ht="12.75" customHeight="1" x14ac:dyDescent="0.25">
      <c r="A69" s="155" t="s">
        <v>211</v>
      </c>
      <c r="B69" s="19"/>
      <c r="C69" s="19"/>
      <c r="D69" s="19"/>
      <c r="E69" s="19"/>
      <c r="F69" s="19"/>
      <c r="G69" s="19"/>
      <c r="H69" s="19"/>
      <c r="I69" s="19"/>
      <c r="J69" s="19"/>
      <c r="K69" s="19"/>
      <c r="L69" s="19"/>
      <c r="M69" s="19"/>
      <c r="N69" s="19"/>
      <c r="O69" s="19"/>
      <c r="P69" s="19"/>
      <c r="Q69" s="29"/>
    </row>
    <row r="70" spans="1:17" ht="12.75" customHeight="1" x14ac:dyDescent="0.25">
      <c r="A70" s="155" t="s">
        <v>210</v>
      </c>
      <c r="B70" s="19"/>
      <c r="C70" s="19"/>
      <c r="D70" s="19"/>
      <c r="E70" s="19"/>
      <c r="F70" s="19"/>
      <c r="G70" s="19"/>
      <c r="H70" s="19"/>
      <c r="I70" s="19"/>
      <c r="J70" s="19"/>
      <c r="K70" s="19"/>
      <c r="L70" s="19"/>
      <c r="M70" s="19"/>
      <c r="N70" s="19"/>
      <c r="O70" s="19"/>
      <c r="P70" s="19"/>
      <c r="Q70" s="29"/>
    </row>
    <row r="71" spans="1:17" x14ac:dyDescent="0.25">
      <c r="A71" s="156" t="s">
        <v>173</v>
      </c>
      <c r="B71" s="19"/>
      <c r="C71" s="19"/>
      <c r="D71" s="19"/>
      <c r="E71" s="19"/>
      <c r="F71" s="19"/>
      <c r="G71" s="19"/>
      <c r="H71" s="19"/>
      <c r="I71" s="19"/>
      <c r="J71" s="19"/>
      <c r="K71" s="19"/>
      <c r="L71" s="19"/>
      <c r="M71" s="19"/>
      <c r="N71" s="19"/>
      <c r="O71" s="19"/>
      <c r="P71" s="19"/>
      <c r="Q71" s="29"/>
    </row>
    <row r="72" spans="1:17" x14ac:dyDescent="0.25">
      <c r="A72" s="155" t="s">
        <v>181</v>
      </c>
      <c r="B72" s="19"/>
      <c r="C72" s="19"/>
      <c r="D72" s="19"/>
      <c r="E72" s="19"/>
      <c r="F72" s="19"/>
      <c r="G72" s="19"/>
      <c r="H72" s="19"/>
      <c r="I72" s="19"/>
      <c r="J72" s="19"/>
      <c r="K72" s="19"/>
      <c r="L72" s="19"/>
      <c r="M72" s="19"/>
      <c r="N72" s="19"/>
      <c r="O72" s="19"/>
      <c r="P72" s="19"/>
      <c r="Q72" s="29"/>
    </row>
    <row r="73" spans="1:17" x14ac:dyDescent="0.25">
      <c r="A73" s="155" t="s">
        <v>176</v>
      </c>
      <c r="B73" s="19"/>
      <c r="C73" s="19"/>
      <c r="D73" s="19"/>
      <c r="E73" s="19"/>
      <c r="F73" s="19"/>
      <c r="G73" s="19"/>
      <c r="H73" s="19"/>
      <c r="I73" s="19"/>
      <c r="J73" s="19"/>
      <c r="K73" s="19"/>
      <c r="L73" s="19"/>
      <c r="M73" s="19"/>
      <c r="N73" s="19"/>
      <c r="O73" s="19"/>
      <c r="P73" s="19"/>
      <c r="Q73" s="29"/>
    </row>
    <row r="74" spans="1:17" x14ac:dyDescent="0.25">
      <c r="A74" s="155" t="s">
        <v>212</v>
      </c>
      <c r="B74" s="19"/>
      <c r="C74" s="19"/>
      <c r="D74" s="19"/>
      <c r="E74" s="19"/>
      <c r="F74" s="19"/>
      <c r="G74" s="19"/>
      <c r="H74" s="19"/>
      <c r="I74" s="19"/>
      <c r="J74" s="19"/>
      <c r="K74" s="19"/>
      <c r="L74" s="19"/>
      <c r="M74" s="19"/>
      <c r="N74" s="19"/>
      <c r="O74" s="19"/>
      <c r="P74" s="19"/>
      <c r="Q74" s="29"/>
    </row>
    <row r="75" spans="1:17" x14ac:dyDescent="0.25">
      <c r="A75" s="156" t="s">
        <v>174</v>
      </c>
      <c r="B75" s="19"/>
      <c r="C75" s="19"/>
      <c r="D75" s="19"/>
      <c r="E75" s="19"/>
      <c r="F75" s="19"/>
      <c r="G75" s="19"/>
      <c r="H75" s="19"/>
      <c r="I75" s="19"/>
      <c r="J75" s="19"/>
      <c r="K75" s="19"/>
      <c r="L75" s="19"/>
      <c r="M75" s="19"/>
      <c r="N75" s="19"/>
      <c r="O75" s="19"/>
      <c r="P75" s="19"/>
      <c r="Q75" s="29"/>
    </row>
    <row r="76" spans="1:17" x14ac:dyDescent="0.25">
      <c r="A76" s="155" t="s">
        <v>213</v>
      </c>
      <c r="B76" s="19"/>
      <c r="C76" s="19"/>
      <c r="D76" s="19"/>
      <c r="E76" s="19"/>
      <c r="F76" s="19"/>
      <c r="G76" s="19"/>
      <c r="H76" s="19"/>
      <c r="I76" s="19"/>
      <c r="J76" s="19"/>
      <c r="K76" s="19"/>
      <c r="L76" s="19"/>
      <c r="M76" s="19"/>
      <c r="N76" s="19"/>
      <c r="O76" s="19"/>
      <c r="P76" s="19"/>
      <c r="Q76" s="29"/>
    </row>
    <row r="77" spans="1:17" x14ac:dyDescent="0.25">
      <c r="A77" s="155" t="s">
        <v>214</v>
      </c>
      <c r="B77" s="19"/>
      <c r="C77" s="19"/>
      <c r="D77" s="19"/>
      <c r="E77" s="19"/>
      <c r="F77" s="19"/>
      <c r="G77" s="19"/>
      <c r="H77" s="19"/>
      <c r="I77" s="19"/>
      <c r="J77" s="19"/>
      <c r="K77" s="19"/>
      <c r="L77" s="19"/>
      <c r="M77" s="19"/>
      <c r="N77" s="19"/>
      <c r="O77" s="19"/>
      <c r="P77" s="19"/>
      <c r="Q77" s="29"/>
    </row>
    <row r="78" spans="1:17" x14ac:dyDescent="0.25">
      <c r="A78" s="156" t="s">
        <v>175</v>
      </c>
      <c r="B78" s="19"/>
      <c r="C78" s="19"/>
      <c r="D78" s="19"/>
      <c r="E78" s="19"/>
      <c r="F78" s="19"/>
      <c r="G78" s="19"/>
      <c r="H78" s="19"/>
      <c r="I78" s="19"/>
      <c r="J78" s="19"/>
      <c r="K78" s="19"/>
      <c r="L78" s="19"/>
      <c r="M78" s="19"/>
      <c r="N78" s="19"/>
      <c r="O78" s="19"/>
      <c r="P78" s="19"/>
      <c r="Q78" s="29"/>
    </row>
    <row r="79" spans="1:17" x14ac:dyDescent="0.25">
      <c r="A79" s="155" t="s">
        <v>213</v>
      </c>
      <c r="B79" s="19"/>
      <c r="C79" s="19"/>
      <c r="D79" s="19"/>
      <c r="E79" s="19"/>
      <c r="F79" s="19"/>
      <c r="G79" s="19"/>
      <c r="H79" s="19"/>
      <c r="I79" s="19"/>
      <c r="J79" s="19"/>
      <c r="K79" s="19"/>
      <c r="L79" s="19"/>
      <c r="M79" s="19"/>
      <c r="N79" s="19"/>
      <c r="O79" s="19"/>
      <c r="P79" s="19"/>
      <c r="Q79" s="29"/>
    </row>
    <row r="80" spans="1:17" x14ac:dyDescent="0.25">
      <c r="A80" s="155" t="s">
        <v>190</v>
      </c>
      <c r="B80" s="19"/>
      <c r="C80" s="19"/>
      <c r="D80" s="19"/>
      <c r="E80" s="19"/>
      <c r="F80" s="19"/>
      <c r="G80" s="19"/>
      <c r="H80" s="19"/>
      <c r="I80" s="19"/>
      <c r="J80" s="19"/>
      <c r="K80" s="19"/>
      <c r="L80" s="19"/>
      <c r="M80" s="19"/>
      <c r="N80" s="19"/>
      <c r="O80" s="19"/>
      <c r="P80" s="19"/>
      <c r="Q80" s="29"/>
    </row>
    <row r="81" spans="1:17" x14ac:dyDescent="0.25">
      <c r="A81" s="156" t="s">
        <v>180</v>
      </c>
      <c r="B81" s="19"/>
      <c r="C81" s="19"/>
      <c r="D81" s="19"/>
      <c r="E81" s="19"/>
      <c r="F81" s="19"/>
      <c r="G81" s="19"/>
      <c r="H81" s="19"/>
      <c r="I81" s="19"/>
      <c r="J81" s="19"/>
      <c r="K81" s="19"/>
      <c r="L81" s="19"/>
      <c r="M81" s="19"/>
      <c r="N81" s="19"/>
      <c r="O81" s="19"/>
      <c r="P81" s="19"/>
      <c r="Q81" s="29"/>
    </row>
    <row r="82" spans="1:17" x14ac:dyDescent="0.25">
      <c r="A82" s="155" t="s">
        <v>215</v>
      </c>
      <c r="B82" s="19"/>
      <c r="C82" s="19"/>
      <c r="D82" s="19"/>
      <c r="E82" s="19"/>
      <c r="F82" s="19"/>
      <c r="G82" s="19"/>
      <c r="H82" s="19"/>
      <c r="I82" s="19"/>
      <c r="J82" s="19"/>
      <c r="K82" s="19"/>
      <c r="L82" s="19"/>
      <c r="M82" s="19"/>
      <c r="N82" s="19"/>
      <c r="O82" s="19"/>
      <c r="P82" s="19"/>
      <c r="Q82" s="29"/>
    </row>
    <row r="83" spans="1:17" x14ac:dyDescent="0.25">
      <c r="A83" s="155" t="s">
        <v>183</v>
      </c>
      <c r="B83" s="19"/>
      <c r="C83" s="19"/>
      <c r="D83" s="19"/>
      <c r="E83" s="19"/>
      <c r="F83" s="19"/>
      <c r="G83" s="19"/>
      <c r="H83" s="19"/>
      <c r="I83" s="19"/>
      <c r="J83" s="19"/>
      <c r="K83" s="19"/>
      <c r="L83" s="19"/>
      <c r="M83" s="19"/>
      <c r="N83" s="19"/>
      <c r="O83" s="19"/>
      <c r="P83" s="19"/>
      <c r="Q83" s="29"/>
    </row>
    <row r="84" spans="1:17" ht="13.8" thickBot="1" x14ac:dyDescent="0.3">
      <c r="A84" s="33"/>
      <c r="B84" s="34"/>
      <c r="C84" s="34"/>
      <c r="D84" s="34"/>
      <c r="E84" s="34"/>
      <c r="F84" s="34"/>
      <c r="G84" s="34"/>
      <c r="H84" s="34"/>
      <c r="I84" s="34"/>
      <c r="J84" s="34"/>
      <c r="K84" s="34"/>
      <c r="L84" s="34"/>
      <c r="M84" s="34"/>
      <c r="N84" s="34"/>
      <c r="O84" s="34"/>
      <c r="P84" s="34"/>
      <c r="Q84" s="35"/>
    </row>
  </sheetData>
  <sheetProtection algorithmName="SHA-512" hashValue="5AHjTEuCo+1NTKgx72uhQxF6/SdDrrMwwWxyf/1sLqHyuh1jGPqTXzWxgp3osWfvnbEexNexgFMDxhD4seEwcw==" saltValue="vYUUuQrzebX6Le9xddCy1Q==" spinCount="100000" sheet="1" selectLockedCells="1"/>
  <mergeCells count="43">
    <mergeCell ref="C8:F8"/>
    <mergeCell ref="O8:P8"/>
    <mergeCell ref="A2:Q2"/>
    <mergeCell ref="A3:Q3"/>
    <mergeCell ref="A5:Q5"/>
    <mergeCell ref="C7:F7"/>
    <mergeCell ref="O7:P7"/>
    <mergeCell ref="D56:E56"/>
    <mergeCell ref="G56:I56"/>
    <mergeCell ref="A49:B57"/>
    <mergeCell ref="D49:E49"/>
    <mergeCell ref="G49:I49"/>
    <mergeCell ref="D50:E50"/>
    <mergeCell ref="G50:I50"/>
    <mergeCell ref="D57:M57"/>
    <mergeCell ref="D53:E53"/>
    <mergeCell ref="G53:I53"/>
    <mergeCell ref="D51:E51"/>
    <mergeCell ref="G51:I51"/>
    <mergeCell ref="D52:E52"/>
    <mergeCell ref="G52:I52"/>
    <mergeCell ref="D55:E55"/>
    <mergeCell ref="G55:I55"/>
    <mergeCell ref="J40:N40"/>
    <mergeCell ref="P40:Q40"/>
    <mergeCell ref="A29:Q32"/>
    <mergeCell ref="A47:Q47"/>
    <mergeCell ref="A48:B48"/>
    <mergeCell ref="G48:I48"/>
    <mergeCell ref="A34:Q37"/>
    <mergeCell ref="P42:Q42"/>
    <mergeCell ref="P44:Q44"/>
    <mergeCell ref="A39:Q39"/>
    <mergeCell ref="A40:E40"/>
    <mergeCell ref="G40:H40"/>
    <mergeCell ref="D54:E54"/>
    <mergeCell ref="G54:I54"/>
    <mergeCell ref="A42:E42"/>
    <mergeCell ref="G42:H42"/>
    <mergeCell ref="J42:N42"/>
    <mergeCell ref="A44:E44"/>
    <mergeCell ref="G44:H44"/>
    <mergeCell ref="J44:N44"/>
  </mergeCells>
  <conditionalFormatting sqref="O57">
    <cfRule type="expression" dxfId="57" priority="52">
      <formula>O57&gt;SUM(C49:C56)</formula>
    </cfRule>
  </conditionalFormatting>
  <conditionalFormatting sqref="Q57">
    <cfRule type="expression" dxfId="56" priority="46">
      <formula>Q57&gt;N57</formula>
    </cfRule>
  </conditionalFormatting>
  <conditionalFormatting sqref="L49:L50 L56">
    <cfRule type="expression" dxfId="55" priority="43">
      <formula>L49="No"</formula>
    </cfRule>
  </conditionalFormatting>
  <conditionalFormatting sqref="K49:K50 K56">
    <cfRule type="expression" dxfId="54" priority="44">
      <formula>K49="No"</formula>
    </cfRule>
  </conditionalFormatting>
  <conditionalFormatting sqref="L51">
    <cfRule type="expression" dxfId="53" priority="32">
      <formula>L51="No"</formula>
    </cfRule>
  </conditionalFormatting>
  <conditionalFormatting sqref="K51">
    <cfRule type="expression" dxfId="52" priority="33">
      <formula>K51="No"</formula>
    </cfRule>
  </conditionalFormatting>
  <conditionalFormatting sqref="L55">
    <cfRule type="expression" dxfId="51" priority="30">
      <formula>L55="No"</formula>
    </cfRule>
  </conditionalFormatting>
  <conditionalFormatting sqref="K55">
    <cfRule type="expression" dxfId="50" priority="31">
      <formula>K55="No"</formula>
    </cfRule>
  </conditionalFormatting>
  <conditionalFormatting sqref="L53">
    <cfRule type="expression" dxfId="49" priority="20">
      <formula>L53="No"</formula>
    </cfRule>
  </conditionalFormatting>
  <conditionalFormatting sqref="K53">
    <cfRule type="expression" dxfId="48" priority="21">
      <formula>K53="No"</formula>
    </cfRule>
  </conditionalFormatting>
  <conditionalFormatting sqref="L54">
    <cfRule type="expression" dxfId="47" priority="18">
      <formula>L54="No"</formula>
    </cfRule>
  </conditionalFormatting>
  <conditionalFormatting sqref="K54">
    <cfRule type="expression" dxfId="46" priority="19">
      <formula>K54="No"</formula>
    </cfRule>
  </conditionalFormatting>
  <conditionalFormatting sqref="L52">
    <cfRule type="expression" dxfId="45" priority="16">
      <formula>L52="No"</formula>
    </cfRule>
  </conditionalFormatting>
  <conditionalFormatting sqref="K52">
    <cfRule type="expression" dxfId="44" priority="17">
      <formula>K52="No"</formula>
    </cfRule>
  </conditionalFormatting>
  <conditionalFormatting sqref="Q49">
    <cfRule type="expression" dxfId="43" priority="10">
      <formula>Q49&gt;N49</formula>
    </cfRule>
  </conditionalFormatting>
  <conditionalFormatting sqref="Q50">
    <cfRule type="expression" dxfId="42" priority="9">
      <formula>Q50&gt;N50</formula>
    </cfRule>
  </conditionalFormatting>
  <conditionalFormatting sqref="Q51">
    <cfRule type="expression" dxfId="41" priority="8">
      <formula>Q51&gt;N51</formula>
    </cfRule>
  </conditionalFormatting>
  <conditionalFormatting sqref="Q52:Q56">
    <cfRule type="expression" dxfId="40" priority="7">
      <formula>Q52&gt;N52</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5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Tables!$O$21:$O$23</xm:f>
          </x14:formula1>
          <xm:sqref>K49:K56</xm:sqref>
        </x14:dataValidation>
        <x14:dataValidation type="list" allowBlank="1" showInputMessage="1" showErrorMessage="1" xr:uid="{00000000-0002-0000-0800-000002000000}">
          <x14:formula1>
            <xm:f>Tables!$Q$21:$Q$23</xm:f>
          </x14:formula1>
          <xm:sqref>L49:L56</xm:sqref>
        </x14:dataValidation>
        <x14:dataValidation type="list" allowBlank="1" showInputMessage="1" showErrorMessage="1" xr:uid="{00000000-0002-0000-0800-000000000000}">
          <x14:formula1>
            <xm:f>Tables!$U$2:$U$7</xm:f>
          </x14:formula1>
          <xm:sqref>C7:F7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Q99"/>
  <sheetViews>
    <sheetView zoomScaleNormal="100" workbookViewId="0">
      <selection activeCell="C8" sqref="C8:F8"/>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JUNIOR HIGH SCHOOL EXTRACURRICULAR STIPEND PAYMENT REQUEST")</f>
        <v>2023-2024 JUNIOR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165</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158</v>
      </c>
      <c r="P7" s="467"/>
      <c r="Q7" s="157"/>
    </row>
    <row r="8" spans="1:17" ht="19.95" customHeight="1" x14ac:dyDescent="0.3">
      <c r="A8" s="133"/>
      <c r="B8" s="17" t="s">
        <v>163</v>
      </c>
      <c r="C8" s="474"/>
      <c r="D8" s="474"/>
      <c r="E8" s="474"/>
      <c r="F8" s="474"/>
      <c r="G8" s="19"/>
      <c r="H8" s="19"/>
      <c r="I8" s="19"/>
      <c r="J8" s="19"/>
      <c r="K8" s="18"/>
      <c r="L8" s="18"/>
      <c r="M8" s="18"/>
      <c r="N8" s="17" t="s">
        <v>72</v>
      </c>
      <c r="O8" s="469" t="s">
        <v>159</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Tennis - Boys</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+A57</f>
        <v>Track - Boys</v>
      </c>
      <c r="B13" s="201"/>
      <c r="C13" s="201"/>
      <c r="D13" s="190">
        <f>+P64</f>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t="str">
        <f>+A65</f>
        <v>Track - Girls</v>
      </c>
      <c r="B14" s="201"/>
      <c r="C14" s="201"/>
      <c r="D14" s="193">
        <f>+P72</f>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21"/>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206</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9"/>
      <c r="I22" s="89"/>
      <c r="J22" s="89"/>
      <c r="K22" s="19"/>
      <c r="L22" s="108"/>
      <c r="M22" s="108"/>
      <c r="N22" s="108"/>
      <c r="O22" s="108"/>
      <c r="P22" s="109"/>
      <c r="Q22" s="113"/>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s="142" customFormat="1" ht="19.95" customHeight="1" x14ac:dyDescent="0.25">
      <c r="A49" s="513" t="s">
        <v>14</v>
      </c>
      <c r="B49" s="514"/>
      <c r="C49" s="207">
        <f>+'JHS - Positions and Funding'!B22</f>
        <v>800</v>
      </c>
      <c r="D49" s="446" t="s">
        <v>57</v>
      </c>
      <c r="E49" s="446"/>
      <c r="F49" s="168" t="s">
        <v>79</v>
      </c>
      <c r="G49" s="451"/>
      <c r="H49" s="451"/>
      <c r="I49" s="451"/>
      <c r="J49" s="169"/>
      <c r="K49" s="170"/>
      <c r="L49" s="170"/>
      <c r="M49" s="208" t="s">
        <v>79</v>
      </c>
      <c r="N49" s="209">
        <f>IF(C49&gt;0,C49,0)</f>
        <v>800</v>
      </c>
      <c r="O49" s="172">
        <v>0</v>
      </c>
      <c r="P49" s="210" t="s">
        <v>79</v>
      </c>
      <c r="Q49" s="173">
        <f>SUM(O49:P49)</f>
        <v>0</v>
      </c>
    </row>
    <row r="50" spans="1:17" s="142" customFormat="1" ht="19.95" customHeight="1" x14ac:dyDescent="0.25">
      <c r="A50" s="515"/>
      <c r="B50" s="516"/>
      <c r="C50" s="211">
        <f>+'JHS - Positions and Funding'!B23</f>
        <v>575</v>
      </c>
      <c r="D50" s="445" t="s">
        <v>56</v>
      </c>
      <c r="E50" s="445"/>
      <c r="F50" s="174" t="s">
        <v>79</v>
      </c>
      <c r="G50" s="450"/>
      <c r="H50" s="450"/>
      <c r="I50" s="450"/>
      <c r="J50" s="175"/>
      <c r="K50" s="175"/>
      <c r="L50" s="175"/>
      <c r="M50" s="212" t="s">
        <v>79</v>
      </c>
      <c r="N50" s="176">
        <f>IF(C50&gt;0,C50,0)</f>
        <v>575</v>
      </c>
      <c r="O50" s="177">
        <v>0</v>
      </c>
      <c r="P50" s="213" t="s">
        <v>79</v>
      </c>
      <c r="Q50" s="178">
        <f t="shared" ref="Q50" si="2">SUM(O50:P50)</f>
        <v>0</v>
      </c>
    </row>
    <row r="51" spans="1:17" s="142" customFormat="1" ht="19.95" customHeight="1" x14ac:dyDescent="0.25">
      <c r="A51" s="515"/>
      <c r="B51" s="516"/>
      <c r="C51" s="214">
        <v>0</v>
      </c>
      <c r="D51" s="445" t="s">
        <v>56</v>
      </c>
      <c r="E51" s="445"/>
      <c r="F51" s="174" t="s">
        <v>79</v>
      </c>
      <c r="G51" s="450"/>
      <c r="H51" s="450"/>
      <c r="I51" s="450"/>
      <c r="J51" s="175"/>
      <c r="K51" s="175"/>
      <c r="L51" s="175"/>
      <c r="M51" s="212" t="s">
        <v>79</v>
      </c>
      <c r="N51" s="176">
        <f>IF(C50&gt;0,C50,0)</f>
        <v>575</v>
      </c>
      <c r="O51" s="212" t="s">
        <v>79</v>
      </c>
      <c r="P51" s="177">
        <v>0</v>
      </c>
      <c r="Q51" s="178">
        <f>+P51</f>
        <v>0</v>
      </c>
    </row>
    <row r="52" spans="1:17" s="142" customFormat="1" ht="19.95" customHeight="1" x14ac:dyDescent="0.25">
      <c r="A52" s="515"/>
      <c r="B52" s="516"/>
      <c r="C52" s="214">
        <v>0</v>
      </c>
      <c r="D52" s="445" t="s">
        <v>56</v>
      </c>
      <c r="E52" s="445"/>
      <c r="F52" s="174" t="s">
        <v>79</v>
      </c>
      <c r="G52" s="450"/>
      <c r="H52" s="450"/>
      <c r="I52" s="450"/>
      <c r="J52" s="175"/>
      <c r="K52" s="175"/>
      <c r="L52" s="175"/>
      <c r="M52" s="212" t="s">
        <v>79</v>
      </c>
      <c r="N52" s="176">
        <f>IF(C50&gt;0,C50,0)</f>
        <v>575</v>
      </c>
      <c r="O52" s="212" t="s">
        <v>79</v>
      </c>
      <c r="P52" s="177">
        <v>0</v>
      </c>
      <c r="Q52" s="178">
        <f t="shared" ref="Q52:Q55" si="3">+P52</f>
        <v>0</v>
      </c>
    </row>
    <row r="53" spans="1:17" s="142" customFormat="1" ht="19.95" customHeight="1" x14ac:dyDescent="0.25">
      <c r="A53" s="515"/>
      <c r="B53" s="516"/>
      <c r="C53" s="214">
        <v>0</v>
      </c>
      <c r="D53" s="445" t="s">
        <v>56</v>
      </c>
      <c r="E53" s="445"/>
      <c r="F53" s="174" t="s">
        <v>79</v>
      </c>
      <c r="G53" s="450"/>
      <c r="H53" s="450"/>
      <c r="I53" s="450"/>
      <c r="J53" s="175"/>
      <c r="K53" s="175"/>
      <c r="L53" s="175"/>
      <c r="M53" s="212" t="s">
        <v>79</v>
      </c>
      <c r="N53" s="176">
        <f>IF(C50&gt;0,C50,0)</f>
        <v>575</v>
      </c>
      <c r="O53" s="212" t="s">
        <v>79</v>
      </c>
      <c r="P53" s="177">
        <v>0</v>
      </c>
      <c r="Q53" s="178">
        <f t="shared" si="3"/>
        <v>0</v>
      </c>
    </row>
    <row r="54" spans="1:17" s="142" customFormat="1" ht="19.95" customHeight="1" x14ac:dyDescent="0.25">
      <c r="A54" s="515"/>
      <c r="B54" s="516"/>
      <c r="C54" s="214">
        <v>0</v>
      </c>
      <c r="D54" s="445" t="s">
        <v>56</v>
      </c>
      <c r="E54" s="445"/>
      <c r="F54" s="174" t="s">
        <v>79</v>
      </c>
      <c r="G54" s="450"/>
      <c r="H54" s="450"/>
      <c r="I54" s="450"/>
      <c r="J54" s="175"/>
      <c r="K54" s="175"/>
      <c r="L54" s="175"/>
      <c r="M54" s="212" t="s">
        <v>79</v>
      </c>
      <c r="N54" s="176">
        <f>IF(C50&gt;0,C50,0)</f>
        <v>575</v>
      </c>
      <c r="O54" s="212" t="s">
        <v>79</v>
      </c>
      <c r="P54" s="177">
        <v>0</v>
      </c>
      <c r="Q54" s="178">
        <f t="shared" si="3"/>
        <v>0</v>
      </c>
    </row>
    <row r="55" spans="1:17" s="142" customFormat="1" ht="19.95" customHeight="1" x14ac:dyDescent="0.25">
      <c r="A55" s="515"/>
      <c r="B55" s="516"/>
      <c r="C55" s="214">
        <v>0</v>
      </c>
      <c r="D55" s="445" t="s">
        <v>56</v>
      </c>
      <c r="E55" s="445"/>
      <c r="F55" s="174" t="s">
        <v>79</v>
      </c>
      <c r="G55" s="450"/>
      <c r="H55" s="450"/>
      <c r="I55" s="450"/>
      <c r="J55" s="175"/>
      <c r="K55" s="175"/>
      <c r="L55" s="175"/>
      <c r="M55" s="212" t="s">
        <v>79</v>
      </c>
      <c r="N55" s="176">
        <f>IF(C50&gt;0,C50,0)</f>
        <v>575</v>
      </c>
      <c r="O55" s="212" t="s">
        <v>79</v>
      </c>
      <c r="P55" s="177">
        <v>0</v>
      </c>
      <c r="Q55" s="178">
        <f t="shared" si="3"/>
        <v>0</v>
      </c>
    </row>
    <row r="56" spans="1:17" s="142" customFormat="1" ht="19.95" customHeight="1" thickBot="1" x14ac:dyDescent="0.35">
      <c r="A56" s="517"/>
      <c r="B56" s="518"/>
      <c r="C56" s="215"/>
      <c r="D56" s="448" t="str">
        <f>CONCATENATE(A49," Totals")</f>
        <v>Tennis - Boys Totals</v>
      </c>
      <c r="E56" s="448"/>
      <c r="F56" s="448"/>
      <c r="G56" s="448"/>
      <c r="H56" s="448"/>
      <c r="I56" s="448"/>
      <c r="J56" s="448"/>
      <c r="K56" s="448"/>
      <c r="L56" s="448"/>
      <c r="M56" s="449"/>
      <c r="N56" s="216">
        <f>SUM(N49:N55)</f>
        <v>4250</v>
      </c>
      <c r="O56" s="180">
        <f>SUM(O49:O55)</f>
        <v>0</v>
      </c>
      <c r="P56" s="180">
        <f>SUM(P49:P55)</f>
        <v>0</v>
      </c>
      <c r="Q56" s="181">
        <f t="shared" ref="Q56" si="4">SUM(O56:P56)</f>
        <v>0</v>
      </c>
    </row>
    <row r="57" spans="1:17" ht="19.95" customHeight="1" x14ac:dyDescent="0.25">
      <c r="A57" s="513" t="s">
        <v>8</v>
      </c>
      <c r="B57" s="514"/>
      <c r="C57" s="207">
        <f>+'JHS - Positions and Funding'!B26</f>
        <v>1400</v>
      </c>
      <c r="D57" s="446" t="s">
        <v>57</v>
      </c>
      <c r="E57" s="446"/>
      <c r="F57" s="168" t="s">
        <v>79</v>
      </c>
      <c r="G57" s="451"/>
      <c r="H57" s="451"/>
      <c r="I57" s="451"/>
      <c r="J57" s="169"/>
      <c r="K57" s="170"/>
      <c r="L57" s="170"/>
      <c r="M57" s="208" t="s">
        <v>79</v>
      </c>
      <c r="N57" s="209">
        <f>IF(C57&gt;0,C57,0)</f>
        <v>1400</v>
      </c>
      <c r="O57" s="172">
        <v>0</v>
      </c>
      <c r="P57" s="210" t="s">
        <v>79</v>
      </c>
      <c r="Q57" s="173">
        <f>SUM(O57:P57)</f>
        <v>0</v>
      </c>
    </row>
    <row r="58" spans="1:17" ht="19.95" customHeight="1" x14ac:dyDescent="0.25">
      <c r="A58" s="515"/>
      <c r="B58" s="516"/>
      <c r="C58" s="211">
        <f>+'JHS - Positions and Funding'!B27</f>
        <v>850</v>
      </c>
      <c r="D58" s="445" t="s">
        <v>56</v>
      </c>
      <c r="E58" s="445"/>
      <c r="F58" s="174" t="s">
        <v>79</v>
      </c>
      <c r="G58" s="450"/>
      <c r="H58" s="450"/>
      <c r="I58" s="450"/>
      <c r="J58" s="175"/>
      <c r="K58" s="175"/>
      <c r="L58" s="175"/>
      <c r="M58" s="212" t="s">
        <v>79</v>
      </c>
      <c r="N58" s="176">
        <f>IF(C58&gt;0,C58,0)</f>
        <v>850</v>
      </c>
      <c r="O58" s="177">
        <v>0</v>
      </c>
      <c r="P58" s="213" t="s">
        <v>79</v>
      </c>
      <c r="Q58" s="178">
        <f t="shared" ref="Q58" si="5">SUM(O58:P58)</f>
        <v>0</v>
      </c>
    </row>
    <row r="59" spans="1:17" ht="19.95" customHeight="1" x14ac:dyDescent="0.25">
      <c r="A59" s="515"/>
      <c r="B59" s="516"/>
      <c r="C59" s="214">
        <v>0</v>
      </c>
      <c r="D59" s="445" t="s">
        <v>56</v>
      </c>
      <c r="E59" s="445"/>
      <c r="F59" s="174" t="s">
        <v>79</v>
      </c>
      <c r="G59" s="450"/>
      <c r="H59" s="450"/>
      <c r="I59" s="450"/>
      <c r="J59" s="175"/>
      <c r="K59" s="175"/>
      <c r="L59" s="175"/>
      <c r="M59" s="212" t="s">
        <v>79</v>
      </c>
      <c r="N59" s="176">
        <f>IF(C58&gt;0,C58,0)</f>
        <v>850</v>
      </c>
      <c r="O59" s="212" t="s">
        <v>79</v>
      </c>
      <c r="P59" s="177">
        <v>0</v>
      </c>
      <c r="Q59" s="178">
        <f>+P59</f>
        <v>0</v>
      </c>
    </row>
    <row r="60" spans="1:17" ht="19.95" customHeight="1" x14ac:dyDescent="0.25">
      <c r="A60" s="515"/>
      <c r="B60" s="516"/>
      <c r="C60" s="214">
        <v>0</v>
      </c>
      <c r="D60" s="445" t="s">
        <v>56</v>
      </c>
      <c r="E60" s="445"/>
      <c r="F60" s="174" t="s">
        <v>79</v>
      </c>
      <c r="G60" s="450"/>
      <c r="H60" s="450"/>
      <c r="I60" s="450"/>
      <c r="J60" s="175"/>
      <c r="K60" s="175"/>
      <c r="L60" s="175"/>
      <c r="M60" s="212" t="s">
        <v>79</v>
      </c>
      <c r="N60" s="176">
        <f>IF(C58&gt;0,C58,0)</f>
        <v>850</v>
      </c>
      <c r="O60" s="212" t="s">
        <v>79</v>
      </c>
      <c r="P60" s="177">
        <v>0</v>
      </c>
      <c r="Q60" s="178">
        <f t="shared" ref="Q60:Q63" si="6">+P60</f>
        <v>0</v>
      </c>
    </row>
    <row r="61" spans="1:17" ht="19.95" customHeight="1" x14ac:dyDescent="0.25">
      <c r="A61" s="515"/>
      <c r="B61" s="516"/>
      <c r="C61" s="214">
        <v>0</v>
      </c>
      <c r="D61" s="445" t="s">
        <v>56</v>
      </c>
      <c r="E61" s="445"/>
      <c r="F61" s="174" t="s">
        <v>79</v>
      </c>
      <c r="G61" s="450"/>
      <c r="H61" s="450"/>
      <c r="I61" s="450"/>
      <c r="J61" s="175"/>
      <c r="K61" s="175"/>
      <c r="L61" s="175"/>
      <c r="M61" s="212" t="s">
        <v>79</v>
      </c>
      <c r="N61" s="176">
        <f>IF(C58&gt;0,C58,0)</f>
        <v>850</v>
      </c>
      <c r="O61" s="212" t="s">
        <v>79</v>
      </c>
      <c r="P61" s="177">
        <v>0</v>
      </c>
      <c r="Q61" s="178">
        <f t="shared" si="6"/>
        <v>0</v>
      </c>
    </row>
    <row r="62" spans="1:17" ht="19.95" customHeight="1" x14ac:dyDescent="0.25">
      <c r="A62" s="515"/>
      <c r="B62" s="516"/>
      <c r="C62" s="217">
        <v>0</v>
      </c>
      <c r="D62" s="539" t="s">
        <v>56</v>
      </c>
      <c r="E62" s="539"/>
      <c r="F62" s="218" t="s">
        <v>79</v>
      </c>
      <c r="G62" s="540"/>
      <c r="H62" s="540"/>
      <c r="I62" s="540"/>
      <c r="J62" s="219"/>
      <c r="K62" s="219"/>
      <c r="L62" s="219"/>
      <c r="M62" s="212" t="s">
        <v>79</v>
      </c>
      <c r="N62" s="176">
        <f>IF(C58&gt;0,C58,0)</f>
        <v>850</v>
      </c>
      <c r="O62" s="212" t="s">
        <v>79</v>
      </c>
      <c r="P62" s="177">
        <v>0</v>
      </c>
      <c r="Q62" s="178">
        <f t="shared" si="6"/>
        <v>0</v>
      </c>
    </row>
    <row r="63" spans="1:17" ht="19.95" customHeight="1" x14ac:dyDescent="0.25">
      <c r="A63" s="515"/>
      <c r="B63" s="516"/>
      <c r="C63" s="214">
        <v>0</v>
      </c>
      <c r="D63" s="445" t="s">
        <v>56</v>
      </c>
      <c r="E63" s="445"/>
      <c r="F63" s="174" t="s">
        <v>79</v>
      </c>
      <c r="G63" s="450"/>
      <c r="H63" s="450"/>
      <c r="I63" s="450"/>
      <c r="J63" s="175"/>
      <c r="K63" s="175"/>
      <c r="L63" s="175"/>
      <c r="M63" s="212" t="s">
        <v>79</v>
      </c>
      <c r="N63" s="176">
        <f>IF(C58&gt;0,C58,0)</f>
        <v>850</v>
      </c>
      <c r="O63" s="212" t="s">
        <v>79</v>
      </c>
      <c r="P63" s="177">
        <v>0</v>
      </c>
      <c r="Q63" s="178">
        <f t="shared" si="6"/>
        <v>0</v>
      </c>
    </row>
    <row r="64" spans="1:17" s="143" customFormat="1" ht="19.95" customHeight="1" thickBot="1" x14ac:dyDescent="0.35">
      <c r="A64" s="517"/>
      <c r="B64" s="518"/>
      <c r="C64" s="215"/>
      <c r="D64" s="448" t="str">
        <f>CONCATENATE(A57," Totals")</f>
        <v>Track - Boys Totals</v>
      </c>
      <c r="E64" s="448"/>
      <c r="F64" s="448"/>
      <c r="G64" s="448"/>
      <c r="H64" s="448"/>
      <c r="I64" s="448"/>
      <c r="J64" s="448"/>
      <c r="K64" s="448"/>
      <c r="L64" s="448"/>
      <c r="M64" s="449"/>
      <c r="N64" s="216">
        <f>SUM(N57:N63)</f>
        <v>6500</v>
      </c>
      <c r="O64" s="180">
        <f>SUM(O57:O63)</f>
        <v>0</v>
      </c>
      <c r="P64" s="180">
        <f>SUM(P57:P63)</f>
        <v>0</v>
      </c>
      <c r="Q64" s="181">
        <f t="shared" ref="Q64" si="7">SUM(O64:P64)</f>
        <v>0</v>
      </c>
    </row>
    <row r="65" spans="1:17" ht="19.95" customHeight="1" x14ac:dyDescent="0.25">
      <c r="A65" s="513" t="s">
        <v>11</v>
      </c>
      <c r="B65" s="514"/>
      <c r="C65" s="207">
        <f>+'JHS - Positions and Funding'!B28</f>
        <v>1400</v>
      </c>
      <c r="D65" s="446" t="s">
        <v>57</v>
      </c>
      <c r="E65" s="446"/>
      <c r="F65" s="168" t="s">
        <v>79</v>
      </c>
      <c r="G65" s="451"/>
      <c r="H65" s="451"/>
      <c r="I65" s="451"/>
      <c r="J65" s="169"/>
      <c r="K65" s="169"/>
      <c r="L65" s="169"/>
      <c r="M65" s="208" t="s">
        <v>79</v>
      </c>
      <c r="N65" s="209">
        <f>IF(C65&gt;0,C65,0)</f>
        <v>1400</v>
      </c>
      <c r="O65" s="172">
        <v>0</v>
      </c>
      <c r="P65" s="210" t="s">
        <v>79</v>
      </c>
      <c r="Q65" s="173">
        <f>SUM(O65:P65)</f>
        <v>0</v>
      </c>
    </row>
    <row r="66" spans="1:17" ht="19.95" customHeight="1" x14ac:dyDescent="0.25">
      <c r="A66" s="515"/>
      <c r="B66" s="516"/>
      <c r="C66" s="211">
        <f>+'JHS - Positions and Funding'!B29</f>
        <v>850</v>
      </c>
      <c r="D66" s="445" t="s">
        <v>56</v>
      </c>
      <c r="E66" s="445"/>
      <c r="F66" s="174" t="s">
        <v>79</v>
      </c>
      <c r="G66" s="450"/>
      <c r="H66" s="450"/>
      <c r="I66" s="450"/>
      <c r="J66" s="175"/>
      <c r="K66" s="175"/>
      <c r="L66" s="175"/>
      <c r="M66" s="212" t="s">
        <v>79</v>
      </c>
      <c r="N66" s="176">
        <f>IF(C66&gt;0,C66,0)</f>
        <v>850</v>
      </c>
      <c r="O66" s="177">
        <v>0</v>
      </c>
      <c r="P66" s="213" t="s">
        <v>79</v>
      </c>
      <c r="Q66" s="178">
        <f t="shared" ref="Q66" si="8">SUM(O66:P66)</f>
        <v>0</v>
      </c>
    </row>
    <row r="67" spans="1:17" ht="19.95" customHeight="1" x14ac:dyDescent="0.25">
      <c r="A67" s="515"/>
      <c r="B67" s="516"/>
      <c r="C67" s="214">
        <v>0</v>
      </c>
      <c r="D67" s="445" t="s">
        <v>56</v>
      </c>
      <c r="E67" s="445"/>
      <c r="F67" s="174" t="s">
        <v>79</v>
      </c>
      <c r="G67" s="450"/>
      <c r="H67" s="450"/>
      <c r="I67" s="450"/>
      <c r="J67" s="175"/>
      <c r="K67" s="175"/>
      <c r="L67" s="175"/>
      <c r="M67" s="212" t="s">
        <v>79</v>
      </c>
      <c r="N67" s="176">
        <f>IF(C66&gt;0,C66,0)</f>
        <v>850</v>
      </c>
      <c r="O67" s="212" t="s">
        <v>79</v>
      </c>
      <c r="P67" s="177">
        <v>0</v>
      </c>
      <c r="Q67" s="178">
        <f>+P67</f>
        <v>0</v>
      </c>
    </row>
    <row r="68" spans="1:17" ht="19.95" customHeight="1" x14ac:dyDescent="0.25">
      <c r="A68" s="515"/>
      <c r="B68" s="516"/>
      <c r="C68" s="214">
        <v>0</v>
      </c>
      <c r="D68" s="445" t="s">
        <v>56</v>
      </c>
      <c r="E68" s="445"/>
      <c r="F68" s="174" t="s">
        <v>79</v>
      </c>
      <c r="G68" s="450"/>
      <c r="H68" s="450"/>
      <c r="I68" s="450"/>
      <c r="J68" s="175"/>
      <c r="K68" s="175"/>
      <c r="L68" s="175"/>
      <c r="M68" s="212" t="s">
        <v>79</v>
      </c>
      <c r="N68" s="176">
        <f>IF(C66&gt;0,C66,0)</f>
        <v>850</v>
      </c>
      <c r="O68" s="212" t="s">
        <v>79</v>
      </c>
      <c r="P68" s="177">
        <v>0</v>
      </c>
      <c r="Q68" s="178">
        <f t="shared" ref="Q68:Q71" si="9">+P68</f>
        <v>0</v>
      </c>
    </row>
    <row r="69" spans="1:17" ht="19.95" customHeight="1" x14ac:dyDescent="0.25">
      <c r="A69" s="515"/>
      <c r="B69" s="516"/>
      <c r="C69" s="214">
        <v>0</v>
      </c>
      <c r="D69" s="445" t="s">
        <v>56</v>
      </c>
      <c r="E69" s="445"/>
      <c r="F69" s="174" t="s">
        <v>79</v>
      </c>
      <c r="G69" s="450"/>
      <c r="H69" s="450"/>
      <c r="I69" s="450"/>
      <c r="J69" s="175"/>
      <c r="K69" s="175"/>
      <c r="L69" s="175"/>
      <c r="M69" s="212" t="s">
        <v>79</v>
      </c>
      <c r="N69" s="176">
        <f>IF(C66&gt;0,C66,0)</f>
        <v>850</v>
      </c>
      <c r="O69" s="212" t="s">
        <v>79</v>
      </c>
      <c r="P69" s="177">
        <v>0</v>
      </c>
      <c r="Q69" s="178">
        <f t="shared" si="9"/>
        <v>0</v>
      </c>
    </row>
    <row r="70" spans="1:17" ht="19.95" customHeight="1" x14ac:dyDescent="0.25">
      <c r="A70" s="515"/>
      <c r="B70" s="516"/>
      <c r="C70" s="214">
        <v>0</v>
      </c>
      <c r="D70" s="445" t="s">
        <v>56</v>
      </c>
      <c r="E70" s="445"/>
      <c r="F70" s="174" t="s">
        <v>79</v>
      </c>
      <c r="G70" s="450"/>
      <c r="H70" s="450"/>
      <c r="I70" s="450"/>
      <c r="J70" s="175"/>
      <c r="K70" s="175"/>
      <c r="L70" s="175"/>
      <c r="M70" s="212" t="s">
        <v>79</v>
      </c>
      <c r="N70" s="176">
        <f>IF(C66&gt;0,C66,0)</f>
        <v>850</v>
      </c>
      <c r="O70" s="212" t="s">
        <v>79</v>
      </c>
      <c r="P70" s="177">
        <v>0</v>
      </c>
      <c r="Q70" s="178">
        <f t="shared" si="9"/>
        <v>0</v>
      </c>
    </row>
    <row r="71" spans="1:17" ht="19.95" customHeight="1" x14ac:dyDescent="0.25">
      <c r="A71" s="515"/>
      <c r="B71" s="516"/>
      <c r="C71" s="214">
        <v>0</v>
      </c>
      <c r="D71" s="445" t="s">
        <v>56</v>
      </c>
      <c r="E71" s="445"/>
      <c r="F71" s="174" t="s">
        <v>79</v>
      </c>
      <c r="G71" s="450"/>
      <c r="H71" s="450"/>
      <c r="I71" s="450"/>
      <c r="J71" s="175"/>
      <c r="K71" s="175"/>
      <c r="L71" s="175"/>
      <c r="M71" s="212" t="s">
        <v>79</v>
      </c>
      <c r="N71" s="176">
        <f>IF(C66&gt;0,C66,0)</f>
        <v>850</v>
      </c>
      <c r="O71" s="212" t="s">
        <v>79</v>
      </c>
      <c r="P71" s="177">
        <v>0</v>
      </c>
      <c r="Q71" s="178">
        <f t="shared" si="9"/>
        <v>0</v>
      </c>
    </row>
    <row r="72" spans="1:17" s="143" customFormat="1" ht="19.95" customHeight="1" thickBot="1" x14ac:dyDescent="0.35">
      <c r="A72" s="517"/>
      <c r="B72" s="518"/>
      <c r="C72" s="220"/>
      <c r="D72" s="448" t="str">
        <f>CONCATENATE(A65," Totals")</f>
        <v>Track - Girls Totals</v>
      </c>
      <c r="E72" s="448"/>
      <c r="F72" s="448"/>
      <c r="G72" s="448"/>
      <c r="H72" s="448"/>
      <c r="I72" s="448"/>
      <c r="J72" s="448"/>
      <c r="K72" s="448"/>
      <c r="L72" s="448"/>
      <c r="M72" s="449"/>
      <c r="N72" s="216">
        <f>SUM(N65:N71)</f>
        <v>6500</v>
      </c>
      <c r="O72" s="180">
        <f>SUM(O65:O71)</f>
        <v>0</v>
      </c>
      <c r="P72" s="180">
        <f>SUM(P65:P71)</f>
        <v>0</v>
      </c>
      <c r="Q72" s="181">
        <f t="shared" ref="Q72" si="10">SUM(O72:P72)</f>
        <v>0</v>
      </c>
    </row>
    <row r="73" spans="1:17" s="142" customFormat="1" ht="19.95" customHeight="1" thickBot="1" x14ac:dyDescent="0.35">
      <c r="A73" s="182"/>
      <c r="B73" s="183"/>
      <c r="C73" s="183"/>
      <c r="D73" s="183"/>
      <c r="E73" s="183"/>
      <c r="F73" s="197"/>
      <c r="G73" s="183"/>
      <c r="H73" s="183"/>
      <c r="I73" s="183"/>
      <c r="J73" s="183"/>
      <c r="K73" s="183"/>
      <c r="L73" s="183"/>
      <c r="M73" s="184" t="s">
        <v>134</v>
      </c>
      <c r="N73" s="185">
        <f>+N56+N64+N72</f>
        <v>17250</v>
      </c>
      <c r="O73" s="185">
        <f>+O56+O64+O72</f>
        <v>0</v>
      </c>
      <c r="P73" s="185">
        <f>+P56+P64+P72</f>
        <v>0</v>
      </c>
      <c r="Q73" s="186">
        <f>+Q56+Q64+Q72</f>
        <v>0</v>
      </c>
    </row>
    <row r="74" spans="1:17" ht="12.75" customHeight="1" x14ac:dyDescent="0.25">
      <c r="A74" s="152" t="s">
        <v>178</v>
      </c>
      <c r="B74" s="11"/>
      <c r="C74" s="11"/>
      <c r="D74" s="11"/>
      <c r="E74" s="11"/>
      <c r="F74" s="11"/>
      <c r="G74" s="11"/>
      <c r="H74" s="11"/>
      <c r="I74" s="11"/>
      <c r="J74" s="11"/>
      <c r="K74" s="11"/>
      <c r="L74" s="11"/>
      <c r="M74" s="11"/>
      <c r="N74" s="11"/>
      <c r="O74" s="11"/>
      <c r="P74" s="11"/>
      <c r="Q74" s="132"/>
    </row>
    <row r="75" spans="1:17" ht="12.75" customHeight="1" x14ac:dyDescent="0.25">
      <c r="A75" s="153" t="s">
        <v>170</v>
      </c>
      <c r="B75" s="19"/>
      <c r="C75" s="19"/>
      <c r="D75" s="19"/>
      <c r="E75" s="19"/>
      <c r="F75" s="19"/>
      <c r="G75" s="19"/>
      <c r="H75" s="19"/>
      <c r="I75" s="19"/>
      <c r="J75" s="19"/>
      <c r="K75" s="19"/>
      <c r="L75" s="19"/>
      <c r="M75" s="19"/>
      <c r="N75" s="19"/>
      <c r="O75" s="19"/>
      <c r="P75" s="19"/>
      <c r="Q75" s="29"/>
    </row>
    <row r="76" spans="1:17" ht="12.75" customHeight="1" x14ac:dyDescent="0.25">
      <c r="A76" s="154" t="s">
        <v>179</v>
      </c>
      <c r="B76" s="19"/>
      <c r="C76" s="19"/>
      <c r="D76" s="19"/>
      <c r="E76" s="19"/>
      <c r="F76" s="19"/>
      <c r="G76" s="19"/>
      <c r="H76" s="19"/>
      <c r="I76" s="19"/>
      <c r="J76" s="19"/>
      <c r="K76" s="19"/>
      <c r="L76" s="19"/>
      <c r="M76" s="19"/>
      <c r="N76" s="19"/>
      <c r="O76" s="19"/>
      <c r="P76" s="19"/>
      <c r="Q76" s="29"/>
    </row>
    <row r="77" spans="1:17" ht="12.75" customHeight="1" x14ac:dyDescent="0.25">
      <c r="A77" s="154" t="s">
        <v>207</v>
      </c>
      <c r="B77" s="19"/>
      <c r="C77" s="19"/>
      <c r="D77" s="19"/>
      <c r="E77" s="19"/>
      <c r="F77" s="19"/>
      <c r="G77" s="19"/>
      <c r="H77" s="19"/>
      <c r="I77" s="19"/>
      <c r="J77" s="19"/>
      <c r="K77" s="19"/>
      <c r="L77" s="19"/>
      <c r="M77" s="19"/>
      <c r="N77" s="19"/>
      <c r="O77" s="19"/>
      <c r="P77" s="19"/>
      <c r="Q77" s="29"/>
    </row>
    <row r="78" spans="1:17" ht="12.75" customHeight="1" x14ac:dyDescent="0.25">
      <c r="A78" s="154" t="s">
        <v>208</v>
      </c>
      <c r="B78" s="19"/>
      <c r="C78" s="19"/>
      <c r="D78" s="19"/>
      <c r="E78" s="19"/>
      <c r="F78" s="19"/>
      <c r="G78" s="19"/>
      <c r="H78" s="19"/>
      <c r="I78" s="19"/>
      <c r="J78" s="19"/>
      <c r="K78" s="19"/>
      <c r="L78" s="19"/>
      <c r="M78" s="19"/>
      <c r="N78" s="19"/>
      <c r="O78" s="19"/>
      <c r="P78" s="19"/>
      <c r="Q78" s="29"/>
    </row>
    <row r="79" spans="1:17" ht="12.75" customHeight="1" x14ac:dyDescent="0.25">
      <c r="A79" s="153" t="s">
        <v>171</v>
      </c>
      <c r="B79" s="19"/>
      <c r="C79" s="19"/>
      <c r="D79" s="19"/>
      <c r="E79" s="19"/>
      <c r="F79" s="19"/>
      <c r="G79" s="19"/>
      <c r="H79" s="19"/>
      <c r="I79" s="19"/>
      <c r="J79" s="19"/>
      <c r="K79" s="19"/>
      <c r="L79" s="19"/>
      <c r="M79" s="19"/>
      <c r="N79" s="19"/>
      <c r="O79" s="19"/>
      <c r="P79" s="19"/>
      <c r="Q79" s="29"/>
    </row>
    <row r="80" spans="1:17" ht="12.75" customHeight="1" x14ac:dyDescent="0.25">
      <c r="A80" s="154" t="s">
        <v>182</v>
      </c>
      <c r="B80" s="19"/>
      <c r="C80" s="19"/>
      <c r="D80" s="19"/>
      <c r="E80" s="19"/>
      <c r="F80" s="19"/>
      <c r="G80" s="19"/>
      <c r="H80" s="19"/>
      <c r="I80" s="19"/>
      <c r="J80" s="19"/>
      <c r="K80" s="19"/>
      <c r="L80" s="19"/>
      <c r="M80" s="19"/>
      <c r="N80" s="19"/>
      <c r="O80" s="19"/>
      <c r="P80" s="19"/>
      <c r="Q80" s="29"/>
    </row>
    <row r="81" spans="1:17" ht="12.75" customHeight="1" x14ac:dyDescent="0.25">
      <c r="A81" s="155" t="s">
        <v>177</v>
      </c>
      <c r="B81" s="19"/>
      <c r="C81" s="19"/>
      <c r="D81" s="19"/>
      <c r="E81" s="19"/>
      <c r="F81" s="19"/>
      <c r="G81" s="19"/>
      <c r="H81" s="19"/>
      <c r="I81" s="19"/>
      <c r="J81" s="19"/>
      <c r="K81" s="19"/>
      <c r="L81" s="19"/>
      <c r="M81" s="19"/>
      <c r="N81" s="19"/>
      <c r="O81" s="19"/>
      <c r="P81" s="19"/>
      <c r="Q81" s="29"/>
    </row>
    <row r="82" spans="1:17" ht="12.75" customHeight="1" x14ac:dyDescent="0.25">
      <c r="A82" s="155" t="s">
        <v>209</v>
      </c>
      <c r="B82" s="19"/>
      <c r="C82" s="19"/>
      <c r="D82" s="19"/>
      <c r="E82" s="19"/>
      <c r="F82" s="19"/>
      <c r="G82" s="19"/>
      <c r="H82" s="19"/>
      <c r="I82" s="19"/>
      <c r="J82" s="19"/>
      <c r="K82" s="19"/>
      <c r="L82" s="19"/>
      <c r="M82" s="19"/>
      <c r="N82" s="19"/>
      <c r="O82" s="19"/>
      <c r="P82" s="19"/>
      <c r="Q82" s="29"/>
    </row>
    <row r="83" spans="1:17" ht="12.75" customHeight="1" x14ac:dyDescent="0.25">
      <c r="A83" s="156" t="s">
        <v>172</v>
      </c>
      <c r="B83" s="19"/>
      <c r="C83" s="19"/>
      <c r="D83" s="19"/>
      <c r="E83" s="19"/>
      <c r="F83" s="19"/>
      <c r="G83" s="19"/>
      <c r="H83" s="19"/>
      <c r="I83" s="19"/>
      <c r="J83" s="19"/>
      <c r="K83" s="19"/>
      <c r="L83" s="19"/>
      <c r="M83" s="19"/>
      <c r="N83" s="19"/>
      <c r="O83" s="19"/>
      <c r="P83" s="19"/>
      <c r="Q83" s="29"/>
    </row>
    <row r="84" spans="1:17" ht="12.75" customHeight="1" x14ac:dyDescent="0.25">
      <c r="A84" s="155" t="s">
        <v>211</v>
      </c>
      <c r="B84" s="19"/>
      <c r="C84" s="19"/>
      <c r="D84" s="19"/>
      <c r="E84" s="19"/>
      <c r="F84" s="19"/>
      <c r="G84" s="19"/>
      <c r="H84" s="19"/>
      <c r="I84" s="19"/>
      <c r="J84" s="19"/>
      <c r="K84" s="19"/>
      <c r="L84" s="19"/>
      <c r="M84" s="19"/>
      <c r="N84" s="19"/>
      <c r="O84" s="19"/>
      <c r="P84" s="19"/>
      <c r="Q84" s="29"/>
    </row>
    <row r="85" spans="1:17" ht="12.75" customHeight="1" x14ac:dyDescent="0.25">
      <c r="A85" s="155" t="s">
        <v>210</v>
      </c>
      <c r="B85" s="19"/>
      <c r="C85" s="19"/>
      <c r="D85" s="19"/>
      <c r="E85" s="19"/>
      <c r="F85" s="19"/>
      <c r="G85" s="19"/>
      <c r="H85" s="19"/>
      <c r="I85" s="19"/>
      <c r="J85" s="19"/>
      <c r="K85" s="19"/>
      <c r="L85" s="19"/>
      <c r="M85" s="19"/>
      <c r="N85" s="19"/>
      <c r="O85" s="19"/>
      <c r="P85" s="19"/>
      <c r="Q85" s="29"/>
    </row>
    <row r="86" spans="1:17" x14ac:dyDescent="0.25">
      <c r="A86" s="156" t="s">
        <v>173</v>
      </c>
      <c r="B86" s="19"/>
      <c r="C86" s="19"/>
      <c r="D86" s="19"/>
      <c r="E86" s="19"/>
      <c r="F86" s="19"/>
      <c r="G86" s="19"/>
      <c r="H86" s="19"/>
      <c r="I86" s="19"/>
      <c r="J86" s="19"/>
      <c r="K86" s="19"/>
      <c r="L86" s="19"/>
      <c r="M86" s="19"/>
      <c r="N86" s="19"/>
      <c r="O86" s="19"/>
      <c r="P86" s="19"/>
      <c r="Q86" s="29"/>
    </row>
    <row r="87" spans="1:17" x14ac:dyDescent="0.25">
      <c r="A87" s="155" t="s">
        <v>181</v>
      </c>
      <c r="B87" s="19"/>
      <c r="C87" s="19"/>
      <c r="D87" s="19"/>
      <c r="E87" s="19"/>
      <c r="F87" s="19"/>
      <c r="G87" s="19"/>
      <c r="H87" s="19"/>
      <c r="I87" s="19"/>
      <c r="J87" s="19"/>
      <c r="K87" s="19"/>
      <c r="L87" s="19"/>
      <c r="M87" s="19"/>
      <c r="N87" s="19"/>
      <c r="O87" s="19"/>
      <c r="P87" s="19"/>
      <c r="Q87" s="29"/>
    </row>
    <row r="88" spans="1:17" x14ac:dyDescent="0.25">
      <c r="A88" s="155" t="s">
        <v>176</v>
      </c>
      <c r="B88" s="19"/>
      <c r="C88" s="19"/>
      <c r="D88" s="19"/>
      <c r="E88" s="19"/>
      <c r="F88" s="19"/>
      <c r="G88" s="19"/>
      <c r="H88" s="19"/>
      <c r="I88" s="19"/>
      <c r="J88" s="19"/>
      <c r="K88" s="19"/>
      <c r="L88" s="19"/>
      <c r="M88" s="19"/>
      <c r="N88" s="19"/>
      <c r="O88" s="19"/>
      <c r="P88" s="19"/>
      <c r="Q88" s="29"/>
    </row>
    <row r="89" spans="1:17" x14ac:dyDescent="0.25">
      <c r="A89" s="155" t="s">
        <v>212</v>
      </c>
      <c r="B89" s="19"/>
      <c r="C89" s="19"/>
      <c r="D89" s="19"/>
      <c r="E89" s="19"/>
      <c r="F89" s="19"/>
      <c r="G89" s="19"/>
      <c r="H89" s="19"/>
      <c r="I89" s="19"/>
      <c r="J89" s="19"/>
      <c r="K89" s="19"/>
      <c r="L89" s="19"/>
      <c r="M89" s="19"/>
      <c r="N89" s="19"/>
      <c r="O89" s="19"/>
      <c r="P89" s="19"/>
      <c r="Q89" s="29"/>
    </row>
    <row r="90" spans="1:17" x14ac:dyDescent="0.25">
      <c r="A90" s="156" t="s">
        <v>174</v>
      </c>
      <c r="B90" s="19"/>
      <c r="C90" s="19"/>
      <c r="D90" s="19"/>
      <c r="E90" s="19"/>
      <c r="F90" s="19"/>
      <c r="G90" s="19"/>
      <c r="H90" s="19"/>
      <c r="I90" s="19"/>
      <c r="J90" s="19"/>
      <c r="K90" s="19"/>
      <c r="L90" s="19"/>
      <c r="M90" s="19"/>
      <c r="N90" s="19"/>
      <c r="O90" s="19"/>
      <c r="P90" s="19"/>
      <c r="Q90" s="29"/>
    </row>
    <row r="91" spans="1:17" x14ac:dyDescent="0.25">
      <c r="A91" s="155" t="s">
        <v>213</v>
      </c>
      <c r="B91" s="19"/>
      <c r="C91" s="19"/>
      <c r="D91" s="19"/>
      <c r="E91" s="19"/>
      <c r="F91" s="19"/>
      <c r="G91" s="19"/>
      <c r="H91" s="19"/>
      <c r="I91" s="19"/>
      <c r="J91" s="19"/>
      <c r="K91" s="19"/>
      <c r="L91" s="19"/>
      <c r="M91" s="19"/>
      <c r="N91" s="19"/>
      <c r="O91" s="19"/>
      <c r="P91" s="19"/>
      <c r="Q91" s="29"/>
    </row>
    <row r="92" spans="1:17" x14ac:dyDescent="0.25">
      <c r="A92" s="155" t="s">
        <v>214</v>
      </c>
      <c r="B92" s="19"/>
      <c r="C92" s="19"/>
      <c r="D92" s="19"/>
      <c r="E92" s="19"/>
      <c r="F92" s="19"/>
      <c r="G92" s="19"/>
      <c r="H92" s="19"/>
      <c r="I92" s="19"/>
      <c r="J92" s="19"/>
      <c r="K92" s="19"/>
      <c r="L92" s="19"/>
      <c r="M92" s="19"/>
      <c r="N92" s="19"/>
      <c r="O92" s="19"/>
      <c r="P92" s="19"/>
      <c r="Q92" s="29"/>
    </row>
    <row r="93" spans="1:17" x14ac:dyDescent="0.25">
      <c r="A93" s="156" t="s">
        <v>175</v>
      </c>
      <c r="B93" s="19"/>
      <c r="C93" s="19"/>
      <c r="D93" s="19"/>
      <c r="E93" s="19"/>
      <c r="F93" s="19"/>
      <c r="G93" s="19"/>
      <c r="H93" s="19"/>
      <c r="I93" s="19"/>
      <c r="J93" s="19"/>
      <c r="K93" s="19"/>
      <c r="L93" s="19"/>
      <c r="M93" s="19"/>
      <c r="N93" s="19"/>
      <c r="O93" s="19"/>
      <c r="P93" s="19"/>
      <c r="Q93" s="29"/>
    </row>
    <row r="94" spans="1:17" x14ac:dyDescent="0.25">
      <c r="A94" s="155" t="s">
        <v>213</v>
      </c>
      <c r="B94" s="19"/>
      <c r="C94" s="19"/>
      <c r="D94" s="19"/>
      <c r="E94" s="19"/>
      <c r="F94" s="19"/>
      <c r="G94" s="19"/>
      <c r="H94" s="19"/>
      <c r="I94" s="19"/>
      <c r="J94" s="19"/>
      <c r="K94" s="19"/>
      <c r="L94" s="19"/>
      <c r="M94" s="19"/>
      <c r="N94" s="19"/>
      <c r="O94" s="19"/>
      <c r="P94" s="19"/>
      <c r="Q94" s="29"/>
    </row>
    <row r="95" spans="1:17" x14ac:dyDescent="0.25">
      <c r="A95" s="155" t="s">
        <v>190</v>
      </c>
      <c r="B95" s="19"/>
      <c r="C95" s="19"/>
      <c r="D95" s="19"/>
      <c r="E95" s="19"/>
      <c r="F95" s="19"/>
      <c r="G95" s="19"/>
      <c r="H95" s="19"/>
      <c r="I95" s="19"/>
      <c r="J95" s="19"/>
      <c r="K95" s="19"/>
      <c r="L95" s="19"/>
      <c r="M95" s="19"/>
      <c r="N95" s="19"/>
      <c r="O95" s="19"/>
      <c r="P95" s="19"/>
      <c r="Q95" s="29"/>
    </row>
    <row r="96" spans="1:17" x14ac:dyDescent="0.25">
      <c r="A96" s="156" t="s">
        <v>180</v>
      </c>
      <c r="B96" s="19"/>
      <c r="C96" s="19"/>
      <c r="D96" s="19"/>
      <c r="E96" s="19"/>
      <c r="F96" s="19"/>
      <c r="G96" s="19"/>
      <c r="H96" s="19"/>
      <c r="I96" s="19"/>
      <c r="J96" s="19"/>
      <c r="K96" s="19"/>
      <c r="L96" s="19"/>
      <c r="M96" s="19"/>
      <c r="N96" s="19"/>
      <c r="O96" s="19"/>
      <c r="P96" s="19"/>
      <c r="Q96" s="29"/>
    </row>
    <row r="97" spans="1:17" x14ac:dyDescent="0.25">
      <c r="A97" s="155" t="s">
        <v>215</v>
      </c>
      <c r="B97" s="19"/>
      <c r="C97" s="19"/>
      <c r="D97" s="19"/>
      <c r="E97" s="19"/>
      <c r="F97" s="19"/>
      <c r="G97" s="19"/>
      <c r="H97" s="19"/>
      <c r="I97" s="19"/>
      <c r="J97" s="19"/>
      <c r="K97" s="19"/>
      <c r="L97" s="19"/>
      <c r="M97" s="19"/>
      <c r="N97" s="19"/>
      <c r="O97" s="19"/>
      <c r="P97" s="19"/>
      <c r="Q97" s="29"/>
    </row>
    <row r="98" spans="1:17" x14ac:dyDescent="0.25">
      <c r="A98" s="155" t="s">
        <v>183</v>
      </c>
      <c r="B98" s="19"/>
      <c r="C98" s="19"/>
      <c r="D98" s="19"/>
      <c r="E98" s="19"/>
      <c r="F98" s="19"/>
      <c r="G98" s="19"/>
      <c r="H98" s="19"/>
      <c r="I98" s="19"/>
      <c r="J98" s="19"/>
      <c r="K98" s="19"/>
      <c r="L98" s="19"/>
      <c r="M98" s="19"/>
      <c r="N98" s="19"/>
      <c r="O98" s="19"/>
      <c r="P98" s="19"/>
      <c r="Q98" s="29"/>
    </row>
    <row r="99" spans="1:17" ht="13.8" thickBot="1" x14ac:dyDescent="0.3">
      <c r="A99" s="33"/>
      <c r="B99" s="34"/>
      <c r="C99" s="34"/>
      <c r="D99" s="34"/>
      <c r="E99" s="34"/>
      <c r="F99" s="34"/>
      <c r="G99" s="34"/>
      <c r="H99" s="34"/>
      <c r="I99" s="34"/>
      <c r="J99" s="34"/>
      <c r="K99" s="34"/>
      <c r="L99" s="34"/>
      <c r="M99" s="34"/>
      <c r="N99" s="34"/>
      <c r="O99" s="34"/>
      <c r="P99" s="34"/>
      <c r="Q99" s="35"/>
    </row>
  </sheetData>
  <sheetProtection algorithmName="SHA-512" hashValue="9NgXQRG+TKgxWnqFgjTWDBs47TDrpbVhZc/1S76DpU0/DRgAxqaRg75Ki3cwf/yg+d2TBdxtsYl6S+wNVHQtVg==" saltValue="oeDOjTu+1pVtlfarP0KZ0A==" spinCount="100000" sheet="1" selectLockedCells="1"/>
  <mergeCells count="73">
    <mergeCell ref="C8:F8"/>
    <mergeCell ref="O8:P8"/>
    <mergeCell ref="A2:Q2"/>
    <mergeCell ref="A3:Q3"/>
    <mergeCell ref="A5:Q5"/>
    <mergeCell ref="C7:F7"/>
    <mergeCell ref="O7:P7"/>
    <mergeCell ref="D63:E63"/>
    <mergeCell ref="D53:E53"/>
    <mergeCell ref="G53:I53"/>
    <mergeCell ref="D54:E54"/>
    <mergeCell ref="G54:I54"/>
    <mergeCell ref="D55:E55"/>
    <mergeCell ref="G55:I55"/>
    <mergeCell ref="D57:E57"/>
    <mergeCell ref="G57:I57"/>
    <mergeCell ref="D58:E58"/>
    <mergeCell ref="G58:I58"/>
    <mergeCell ref="D59:E59"/>
    <mergeCell ref="G59:I59"/>
    <mergeCell ref="A49:B56"/>
    <mergeCell ref="D49:E49"/>
    <mergeCell ref="G49:I49"/>
    <mergeCell ref="D50:E50"/>
    <mergeCell ref="G50:I50"/>
    <mergeCell ref="D51:E51"/>
    <mergeCell ref="G51:I51"/>
    <mergeCell ref="D52:E52"/>
    <mergeCell ref="G52:I52"/>
    <mergeCell ref="D71:E71"/>
    <mergeCell ref="G71:I71"/>
    <mergeCell ref="A65:B72"/>
    <mergeCell ref="D65:E65"/>
    <mergeCell ref="G65:I65"/>
    <mergeCell ref="D66:E66"/>
    <mergeCell ref="G66:I66"/>
    <mergeCell ref="D72:M72"/>
    <mergeCell ref="D67:E67"/>
    <mergeCell ref="G67:I67"/>
    <mergeCell ref="D68:E68"/>
    <mergeCell ref="G68:I68"/>
    <mergeCell ref="A29:Q32"/>
    <mergeCell ref="A34:Q37"/>
    <mergeCell ref="D69:E69"/>
    <mergeCell ref="G69:I69"/>
    <mergeCell ref="D70:E70"/>
    <mergeCell ref="G70:I70"/>
    <mergeCell ref="G63:I63"/>
    <mergeCell ref="D64:M64"/>
    <mergeCell ref="D60:E60"/>
    <mergeCell ref="G60:I60"/>
    <mergeCell ref="D61:E61"/>
    <mergeCell ref="G61:I61"/>
    <mergeCell ref="D62:E62"/>
    <mergeCell ref="G62:I62"/>
    <mergeCell ref="D56:M56"/>
    <mergeCell ref="A57:B64"/>
    <mergeCell ref="A39:Q39"/>
    <mergeCell ref="A40:E40"/>
    <mergeCell ref="G40:H40"/>
    <mergeCell ref="J40:N40"/>
    <mergeCell ref="P40:Q40"/>
    <mergeCell ref="A47:Q47"/>
    <mergeCell ref="A48:B48"/>
    <mergeCell ref="G48:I48"/>
    <mergeCell ref="A42:E42"/>
    <mergeCell ref="G42:H42"/>
    <mergeCell ref="J42:N42"/>
    <mergeCell ref="P42:Q42"/>
    <mergeCell ref="A44:E44"/>
    <mergeCell ref="G44:H44"/>
    <mergeCell ref="J44:N44"/>
    <mergeCell ref="P44:Q44"/>
  </mergeCells>
  <conditionalFormatting sqref="Q52:Q56 Q60:Q63 Q68:Q71">
    <cfRule type="expression" dxfId="39" priority="64">
      <formula>Q52&gt;N52</formula>
    </cfRule>
  </conditionalFormatting>
  <conditionalFormatting sqref="Q64">
    <cfRule type="expression" dxfId="38" priority="63">
      <formula>Q64&gt;N64</formula>
    </cfRule>
  </conditionalFormatting>
  <conditionalFormatting sqref="Q72">
    <cfRule type="expression" dxfId="37" priority="60">
      <formula>Q72&gt;N72</formula>
    </cfRule>
  </conditionalFormatting>
  <conditionalFormatting sqref="K49">
    <cfRule type="expression" dxfId="36" priority="59">
      <formula>K49="No"</formula>
    </cfRule>
  </conditionalFormatting>
  <conditionalFormatting sqref="L65:L66 L57:L58 L49:L50 L55 L63 L71">
    <cfRule type="expression" dxfId="35" priority="57">
      <formula>L49="No"</formula>
    </cfRule>
  </conditionalFormatting>
  <conditionalFormatting sqref="K65:K66 K57:K58 K50 K55 K63 K71">
    <cfRule type="expression" dxfId="34" priority="58">
      <formula>K50="No"</formula>
    </cfRule>
  </conditionalFormatting>
  <conditionalFormatting sqref="L51">
    <cfRule type="expression" dxfId="33" priority="54">
      <formula>L51="No"</formula>
    </cfRule>
  </conditionalFormatting>
  <conditionalFormatting sqref="K51">
    <cfRule type="expression" dxfId="32" priority="55">
      <formula>K51="No"</formula>
    </cfRule>
  </conditionalFormatting>
  <conditionalFormatting sqref="L52">
    <cfRule type="expression" dxfId="31" priority="52">
      <formula>L52="No"</formula>
    </cfRule>
  </conditionalFormatting>
  <conditionalFormatting sqref="K52">
    <cfRule type="expression" dxfId="30" priority="53">
      <formula>K52="No"</formula>
    </cfRule>
  </conditionalFormatting>
  <conditionalFormatting sqref="L54">
    <cfRule type="expression" dxfId="29" priority="50">
      <formula>L54="No"</formula>
    </cfRule>
  </conditionalFormatting>
  <conditionalFormatting sqref="K54">
    <cfRule type="expression" dxfId="28" priority="51">
      <formula>K54="No"</formula>
    </cfRule>
  </conditionalFormatting>
  <conditionalFormatting sqref="L59 L62">
    <cfRule type="expression" dxfId="27" priority="48">
      <formula>L59="No"</formula>
    </cfRule>
  </conditionalFormatting>
  <conditionalFormatting sqref="K59 K62">
    <cfRule type="expression" dxfId="26" priority="49">
      <formula>K59="No"</formula>
    </cfRule>
  </conditionalFormatting>
  <conditionalFormatting sqref="L67">
    <cfRule type="expression" dxfId="25" priority="46">
      <formula>L67="No"</formula>
    </cfRule>
  </conditionalFormatting>
  <conditionalFormatting sqref="K67">
    <cfRule type="expression" dxfId="24" priority="47">
      <formula>K67="No"</formula>
    </cfRule>
  </conditionalFormatting>
  <conditionalFormatting sqref="L70">
    <cfRule type="expression" dxfId="23" priority="44">
      <formula>L70="No"</formula>
    </cfRule>
  </conditionalFormatting>
  <conditionalFormatting sqref="K70">
    <cfRule type="expression" dxfId="22" priority="45">
      <formula>K70="No"</formula>
    </cfRule>
  </conditionalFormatting>
  <conditionalFormatting sqref="L53">
    <cfRule type="expression" dxfId="21" priority="40">
      <formula>L53="No"</formula>
    </cfRule>
  </conditionalFormatting>
  <conditionalFormatting sqref="K53">
    <cfRule type="expression" dxfId="20" priority="41">
      <formula>K53="No"</formula>
    </cfRule>
  </conditionalFormatting>
  <conditionalFormatting sqref="L60">
    <cfRule type="expression" dxfId="19" priority="38">
      <formula>L60="No"</formula>
    </cfRule>
  </conditionalFormatting>
  <conditionalFormatting sqref="K60">
    <cfRule type="expression" dxfId="18" priority="39">
      <formula>K60="No"</formula>
    </cfRule>
  </conditionalFormatting>
  <conditionalFormatting sqref="L61">
    <cfRule type="expression" dxfId="17" priority="36">
      <formula>L61="No"</formula>
    </cfRule>
  </conditionalFormatting>
  <conditionalFormatting sqref="K61">
    <cfRule type="expression" dxfId="16" priority="37">
      <formula>K61="No"</formula>
    </cfRule>
  </conditionalFormatting>
  <conditionalFormatting sqref="L69">
    <cfRule type="expression" dxfId="15" priority="32">
      <formula>L69="No"</formula>
    </cfRule>
  </conditionalFormatting>
  <conditionalFormatting sqref="K69">
    <cfRule type="expression" dxfId="14" priority="33">
      <formula>K69="No"</formula>
    </cfRule>
  </conditionalFormatting>
  <conditionalFormatting sqref="L68">
    <cfRule type="expression" dxfId="13" priority="30">
      <formula>L68="No"</formula>
    </cfRule>
  </conditionalFormatting>
  <conditionalFormatting sqref="K68">
    <cfRule type="expression" dxfId="12" priority="31">
      <formula>K68="No"</formula>
    </cfRule>
  </conditionalFormatting>
  <conditionalFormatting sqref="Q49">
    <cfRule type="expression" dxfId="11" priority="18">
      <formula>Q49&gt;N49</formula>
    </cfRule>
  </conditionalFormatting>
  <conditionalFormatting sqref="Q50">
    <cfRule type="expression" dxfId="10" priority="17">
      <formula>Q50&gt;N50</formula>
    </cfRule>
  </conditionalFormatting>
  <conditionalFormatting sqref="Q51">
    <cfRule type="expression" dxfId="9" priority="16">
      <formula>Q51&gt;N51</formula>
    </cfRule>
  </conditionalFormatting>
  <conditionalFormatting sqref="Q57">
    <cfRule type="expression" dxfId="8" priority="14">
      <formula>Q57&gt;N57</formula>
    </cfRule>
  </conditionalFormatting>
  <conditionalFormatting sqref="Q58">
    <cfRule type="expression" dxfId="7" priority="13">
      <formula>Q58&gt;N58</formula>
    </cfRule>
  </conditionalFormatting>
  <conditionalFormatting sqref="Q59">
    <cfRule type="expression" dxfId="6" priority="12">
      <formula>Q59&gt;N59</formula>
    </cfRule>
  </conditionalFormatting>
  <conditionalFormatting sqref="Q65">
    <cfRule type="expression" dxfId="5" priority="10">
      <formula>Q65&gt;N65</formula>
    </cfRule>
  </conditionalFormatting>
  <conditionalFormatting sqref="Q66">
    <cfRule type="expression" dxfId="4" priority="9">
      <formula>Q66&gt;N66</formula>
    </cfRule>
  </conditionalFormatting>
  <conditionalFormatting sqref="Q67">
    <cfRule type="expression" dxfId="3" priority="8">
      <formula>Q67&gt;N67</formula>
    </cfRule>
  </conditionalFormatting>
  <conditionalFormatting sqref="O56">
    <cfRule type="expression" dxfId="2" priority="99">
      <formula>O56&gt;SUM(C49:C55)</formula>
    </cfRule>
  </conditionalFormatting>
  <conditionalFormatting sqref="O64">
    <cfRule type="expression" dxfId="1" priority="100">
      <formula>O64&gt;SUM(C57:C63)</formula>
    </cfRule>
  </conditionalFormatting>
  <conditionalFormatting sqref="O72">
    <cfRule type="expression" dxfId="0" priority="101">
      <formula>O72&gt;SUM(C65:C71)</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73" max="16383"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Tables!$O$21:$O$23</xm:f>
          </x14:formula1>
          <xm:sqref>K49:K55 K57:K63 K65:K71</xm:sqref>
        </x14:dataValidation>
        <x14:dataValidation type="list" allowBlank="1" showInputMessage="1" showErrorMessage="1" xr:uid="{00000000-0002-0000-0900-000002000000}">
          <x14:formula1>
            <xm:f>Tables!$Q$21:$Q$23</xm:f>
          </x14:formula1>
          <xm:sqref>L49:L55 L57:L63 L65:L71</xm:sqref>
        </x14:dataValidation>
        <x14:dataValidation type="list" allowBlank="1" showInputMessage="1" showErrorMessage="1" xr:uid="{00000000-0002-0000-0900-000000000000}">
          <x14:formula1>
            <xm:f>Tables!$U$2:$U$7</xm:f>
          </x14:formula1>
          <xm:sqref>C7:F7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86"/>
  <sheetViews>
    <sheetView workbookViewId="0"/>
  </sheetViews>
  <sheetFormatPr defaultRowHeight="14.4" x14ac:dyDescent="0.3"/>
  <cols>
    <col min="1" max="1" width="20.109375" style="43" bestFit="1" customWidth="1"/>
    <col min="2" max="2" width="10" style="43" bestFit="1" customWidth="1"/>
    <col min="3" max="4" width="8.88671875" style="43"/>
    <col min="5" max="7" width="10.109375" style="43" bestFit="1" customWidth="1"/>
    <col min="8" max="9" width="9" style="43" bestFit="1" customWidth="1"/>
    <col min="10" max="10" width="10.109375" style="43" bestFit="1" customWidth="1"/>
    <col min="11" max="13" width="9" style="43" bestFit="1" customWidth="1"/>
    <col min="14" max="16" width="10.109375" style="43" bestFit="1" customWidth="1"/>
    <col min="17" max="16384" width="8.88671875" style="43"/>
  </cols>
  <sheetData>
    <row r="1" spans="1:21" x14ac:dyDescent="0.3">
      <c r="A1" s="43" t="s">
        <v>88</v>
      </c>
      <c r="C1" s="43" t="s">
        <v>90</v>
      </c>
      <c r="O1" s="43" t="s">
        <v>103</v>
      </c>
      <c r="Q1" s="43" t="s">
        <v>107</v>
      </c>
      <c r="U1" s="43" t="s">
        <v>113</v>
      </c>
    </row>
    <row r="3" spans="1:21" x14ac:dyDescent="0.3">
      <c r="A3" s="44" t="s">
        <v>2</v>
      </c>
      <c r="B3" s="44"/>
      <c r="C3" s="44"/>
      <c r="D3" s="44" t="s">
        <v>2</v>
      </c>
      <c r="E3" s="44" t="s">
        <v>4</v>
      </c>
      <c r="F3" s="44" t="s">
        <v>22</v>
      </c>
      <c r="G3" s="44" t="s">
        <v>9</v>
      </c>
      <c r="H3" s="44" t="s">
        <v>77</v>
      </c>
      <c r="I3" s="44" t="s">
        <v>5</v>
      </c>
      <c r="J3" s="44" t="s">
        <v>23</v>
      </c>
      <c r="K3" s="44" t="s">
        <v>10</v>
      </c>
      <c r="L3" s="44" t="s">
        <v>47</v>
      </c>
      <c r="M3" s="44" t="s">
        <v>78</v>
      </c>
      <c r="O3" s="44" t="s">
        <v>66</v>
      </c>
      <c r="Q3" s="44" t="s">
        <v>108</v>
      </c>
      <c r="U3" s="43" t="s">
        <v>114</v>
      </c>
    </row>
    <row r="4" spans="1:21" x14ac:dyDescent="0.3">
      <c r="A4" s="44" t="s">
        <v>4</v>
      </c>
      <c r="B4" s="44"/>
      <c r="C4" s="45">
        <v>1</v>
      </c>
      <c r="D4" s="46">
        <f>+'HS - Lane and Step Schedule'!C7</f>
        <v>5381</v>
      </c>
      <c r="E4" s="46">
        <f>+'HS - Lane and Step Schedule'!E7</f>
        <v>4358</v>
      </c>
      <c r="F4" s="46">
        <f>+'HS - Lane and Step Schedule'!G7</f>
        <v>3874</v>
      </c>
      <c r="G4" s="46">
        <f>+'HS - Lane and Step Schedule'!I7</f>
        <v>3444</v>
      </c>
      <c r="H4" s="46">
        <f>+'HS - Lane and Step Schedule'!K7</f>
        <v>3067</v>
      </c>
      <c r="I4" s="46">
        <f>+'HS - Lane and Step Schedule'!M7</f>
        <v>2637</v>
      </c>
      <c r="J4" s="46">
        <f>+'HS - Lane and Step Schedule'!O7</f>
        <v>2421</v>
      </c>
      <c r="K4" s="46">
        <f>+'HS - Lane and Step Schedule'!Q7</f>
        <v>2152</v>
      </c>
      <c r="L4" s="46">
        <f>+'HS - Lane and Step Schedule'!S7</f>
        <v>1453</v>
      </c>
      <c r="M4" s="46">
        <f>+'HS - Lane and Step Schedule'!U7</f>
        <v>1022</v>
      </c>
      <c r="O4" s="43" t="s">
        <v>67</v>
      </c>
      <c r="Q4" s="43" t="s">
        <v>109</v>
      </c>
      <c r="U4" s="43" t="s">
        <v>115</v>
      </c>
    </row>
    <row r="5" spans="1:21" x14ac:dyDescent="0.3">
      <c r="A5" s="44" t="s">
        <v>22</v>
      </c>
      <c r="B5" s="44"/>
      <c r="C5" s="45">
        <f t="shared" ref="C5:C21" si="0">+C4+1</f>
        <v>2</v>
      </c>
      <c r="D5" s="47">
        <f>+'HS - Lane and Step Schedule'!C8</f>
        <v>5381</v>
      </c>
      <c r="E5" s="47">
        <f>+'HS - Lane and Step Schedule'!E8</f>
        <v>4358</v>
      </c>
      <c r="F5" s="47">
        <f>+'HS - Lane and Step Schedule'!G8</f>
        <v>3874</v>
      </c>
      <c r="G5" s="47">
        <f>+'HS - Lane and Step Schedule'!I8</f>
        <v>3444</v>
      </c>
      <c r="H5" s="47">
        <f>+'HS - Lane and Step Schedule'!K8</f>
        <v>3067</v>
      </c>
      <c r="I5" s="47">
        <f>+'HS - Lane and Step Schedule'!M8</f>
        <v>2637</v>
      </c>
      <c r="J5" s="47">
        <f>+'HS - Lane and Step Schedule'!O8</f>
        <v>2421</v>
      </c>
      <c r="K5" s="47">
        <f>+'HS - Lane and Step Schedule'!Q8</f>
        <v>2152</v>
      </c>
      <c r="L5" s="47">
        <f>+'HS - Lane and Step Schedule'!S8</f>
        <v>1453</v>
      </c>
      <c r="M5" s="47">
        <f>+'HS - Lane and Step Schedule'!U8</f>
        <v>1022</v>
      </c>
      <c r="O5" s="43" t="s">
        <v>68</v>
      </c>
      <c r="Q5" s="43" t="s">
        <v>110</v>
      </c>
      <c r="U5" s="43" t="s">
        <v>116</v>
      </c>
    </row>
    <row r="6" spans="1:21" x14ac:dyDescent="0.3">
      <c r="A6" s="44" t="s">
        <v>9</v>
      </c>
      <c r="B6" s="44"/>
      <c r="C6" s="45">
        <f t="shared" si="0"/>
        <v>3</v>
      </c>
      <c r="D6" s="47">
        <f>+'HS - Lane and Step Schedule'!C9</f>
        <v>5381</v>
      </c>
      <c r="E6" s="47">
        <f>+'HS - Lane and Step Schedule'!E9</f>
        <v>4358</v>
      </c>
      <c r="F6" s="47">
        <f>+'HS - Lane and Step Schedule'!G9</f>
        <v>3874</v>
      </c>
      <c r="G6" s="47">
        <f>+'HS - Lane and Step Schedule'!I9</f>
        <v>3444</v>
      </c>
      <c r="H6" s="47">
        <f>+'HS - Lane and Step Schedule'!K9</f>
        <v>3067</v>
      </c>
      <c r="I6" s="47">
        <f>+'HS - Lane and Step Schedule'!M9</f>
        <v>2637</v>
      </c>
      <c r="J6" s="47">
        <f>+'HS - Lane and Step Schedule'!O9</f>
        <v>2421</v>
      </c>
      <c r="K6" s="47">
        <f>+'HS - Lane and Step Schedule'!Q9</f>
        <v>2152</v>
      </c>
      <c r="L6" s="47">
        <f>+'HS - Lane and Step Schedule'!S9</f>
        <v>1453</v>
      </c>
      <c r="M6" s="47">
        <f>+'HS - Lane and Step Schedule'!U9</f>
        <v>1022</v>
      </c>
      <c r="Q6" s="43" t="s">
        <v>111</v>
      </c>
      <c r="U6" s="43" t="s">
        <v>117</v>
      </c>
    </row>
    <row r="7" spans="1:21" x14ac:dyDescent="0.3">
      <c r="A7" s="44" t="s">
        <v>77</v>
      </c>
      <c r="B7" s="44"/>
      <c r="C7" s="45">
        <f t="shared" si="0"/>
        <v>4</v>
      </c>
      <c r="D7" s="47">
        <f>+'HS - Lane and Step Schedule'!C10</f>
        <v>5650</v>
      </c>
      <c r="E7" s="47">
        <f>+'HS - Lane and Step Schedule'!E10</f>
        <v>4576</v>
      </c>
      <c r="F7" s="47">
        <f>+'HS - Lane and Step Schedule'!G10</f>
        <v>4068</v>
      </c>
      <c r="G7" s="47">
        <f>+'HS - Lane and Step Schedule'!I10</f>
        <v>3616</v>
      </c>
      <c r="H7" s="47">
        <f>+'HS - Lane and Step Schedule'!K10</f>
        <v>3220</v>
      </c>
      <c r="I7" s="47">
        <f>+'HS - Lane and Step Schedule'!M10</f>
        <v>2768</v>
      </c>
      <c r="J7" s="47">
        <f>+'HS - Lane and Step Schedule'!O10</f>
        <v>2542</v>
      </c>
      <c r="K7" s="47">
        <f>+'HS - Lane and Step Schedule'!Q10</f>
        <v>2260</v>
      </c>
      <c r="L7" s="47">
        <f>+'HS - Lane and Step Schedule'!S10</f>
        <v>1525</v>
      </c>
      <c r="M7" s="47">
        <f>+'HS - Lane and Step Schedule'!U10</f>
        <v>1073</v>
      </c>
      <c r="Q7" s="43" t="s">
        <v>112</v>
      </c>
      <c r="U7" s="43" t="s">
        <v>118</v>
      </c>
    </row>
    <row r="8" spans="1:21" x14ac:dyDescent="0.3">
      <c r="A8" s="44" t="s">
        <v>5</v>
      </c>
      <c r="B8" s="44"/>
      <c r="C8" s="45">
        <f t="shared" si="0"/>
        <v>5</v>
      </c>
      <c r="D8" s="47">
        <f>+'HS - Lane and Step Schedule'!C11</f>
        <v>5650</v>
      </c>
      <c r="E8" s="47">
        <f>+'HS - Lane and Step Schedule'!E11</f>
        <v>4576</v>
      </c>
      <c r="F8" s="47">
        <f>+'HS - Lane and Step Schedule'!G11</f>
        <v>4068</v>
      </c>
      <c r="G8" s="47">
        <f>+'HS - Lane and Step Schedule'!I11</f>
        <v>3616</v>
      </c>
      <c r="H8" s="47">
        <f>+'HS - Lane and Step Schedule'!K11</f>
        <v>3220</v>
      </c>
      <c r="I8" s="47">
        <f>+'HS - Lane and Step Schedule'!M11</f>
        <v>2768</v>
      </c>
      <c r="J8" s="47">
        <f>+'HS - Lane and Step Schedule'!O11</f>
        <v>2542</v>
      </c>
      <c r="K8" s="47">
        <f>+'HS - Lane and Step Schedule'!Q11</f>
        <v>2260</v>
      </c>
      <c r="L8" s="47">
        <f>+'HS - Lane and Step Schedule'!S11</f>
        <v>1525</v>
      </c>
      <c r="M8" s="47">
        <f>+'HS - Lane and Step Schedule'!U11</f>
        <v>1073</v>
      </c>
    </row>
    <row r="9" spans="1:21" x14ac:dyDescent="0.3">
      <c r="A9" s="44" t="s">
        <v>23</v>
      </c>
      <c r="B9" s="44"/>
      <c r="C9" s="45">
        <f t="shared" si="0"/>
        <v>6</v>
      </c>
      <c r="D9" s="47">
        <f>+'HS - Lane and Step Schedule'!C12</f>
        <v>5650</v>
      </c>
      <c r="E9" s="47">
        <f>+'HS - Lane and Step Schedule'!E12</f>
        <v>4576</v>
      </c>
      <c r="F9" s="47">
        <f>+'HS - Lane and Step Schedule'!G12</f>
        <v>4068</v>
      </c>
      <c r="G9" s="47">
        <f>+'HS - Lane and Step Schedule'!I12</f>
        <v>3616</v>
      </c>
      <c r="H9" s="47">
        <f>+'HS - Lane and Step Schedule'!K12</f>
        <v>3220</v>
      </c>
      <c r="I9" s="47">
        <f>+'HS - Lane and Step Schedule'!M12</f>
        <v>2768</v>
      </c>
      <c r="J9" s="47">
        <f>+'HS - Lane and Step Schedule'!O12</f>
        <v>2542</v>
      </c>
      <c r="K9" s="47">
        <f>+'HS - Lane and Step Schedule'!Q12</f>
        <v>2260</v>
      </c>
      <c r="L9" s="47">
        <f>+'HS - Lane and Step Schedule'!S12</f>
        <v>1525</v>
      </c>
      <c r="M9" s="47">
        <f>+'HS - Lane and Step Schedule'!U12</f>
        <v>1073</v>
      </c>
    </row>
    <row r="10" spans="1:21" x14ac:dyDescent="0.3">
      <c r="A10" s="44" t="s">
        <v>10</v>
      </c>
      <c r="B10" s="44"/>
      <c r="C10" s="45">
        <f t="shared" si="0"/>
        <v>7</v>
      </c>
      <c r="D10" s="47">
        <f>+'HS - Lane and Step Schedule'!C13</f>
        <v>5932</v>
      </c>
      <c r="E10" s="47">
        <f>+'HS - Lane and Step Schedule'!E13</f>
        <v>4805</v>
      </c>
      <c r="F10" s="47">
        <f>+'HS - Lane and Step Schedule'!G13</f>
        <v>4271</v>
      </c>
      <c r="G10" s="47">
        <f>+'HS - Lane and Step Schedule'!I13</f>
        <v>3797</v>
      </c>
      <c r="H10" s="47">
        <f>+'HS - Lane and Step Schedule'!K13</f>
        <v>3381</v>
      </c>
      <c r="I10" s="47">
        <f>+'HS - Lane and Step Schedule'!M13</f>
        <v>2907</v>
      </c>
      <c r="J10" s="47">
        <f>+'HS - Lane and Step Schedule'!O13</f>
        <v>2670</v>
      </c>
      <c r="K10" s="47">
        <f>+'HS - Lane and Step Schedule'!Q13</f>
        <v>2373</v>
      </c>
      <c r="L10" s="47">
        <f>+'HS - Lane and Step Schedule'!S13</f>
        <v>1602</v>
      </c>
      <c r="M10" s="47">
        <f>+'HS - Lane and Step Schedule'!U13</f>
        <v>1127</v>
      </c>
    </row>
    <row r="11" spans="1:21" x14ac:dyDescent="0.3">
      <c r="A11" s="44" t="s">
        <v>47</v>
      </c>
      <c r="B11" s="44"/>
      <c r="C11" s="45">
        <f t="shared" si="0"/>
        <v>8</v>
      </c>
      <c r="D11" s="47">
        <f>+'HS - Lane and Step Schedule'!C14</f>
        <v>5932</v>
      </c>
      <c r="E11" s="47">
        <f>+'HS - Lane and Step Schedule'!E14</f>
        <v>4805</v>
      </c>
      <c r="F11" s="47">
        <f>+'HS - Lane and Step Schedule'!G14</f>
        <v>4271</v>
      </c>
      <c r="G11" s="47">
        <f>+'HS - Lane and Step Schedule'!I14</f>
        <v>3797</v>
      </c>
      <c r="H11" s="47">
        <f>+'HS - Lane and Step Schedule'!K14</f>
        <v>3381</v>
      </c>
      <c r="I11" s="47">
        <f>+'HS - Lane and Step Schedule'!M14</f>
        <v>2907</v>
      </c>
      <c r="J11" s="47">
        <f>+'HS - Lane and Step Schedule'!O14</f>
        <v>2670</v>
      </c>
      <c r="K11" s="47">
        <f>+'HS - Lane and Step Schedule'!Q14</f>
        <v>2373</v>
      </c>
      <c r="L11" s="47">
        <f>+'HS - Lane and Step Schedule'!S14</f>
        <v>1602</v>
      </c>
      <c r="M11" s="47">
        <f>+'HS - Lane and Step Schedule'!U14</f>
        <v>1127</v>
      </c>
    </row>
    <row r="12" spans="1:21" x14ac:dyDescent="0.3">
      <c r="A12" s="44" t="s">
        <v>78</v>
      </c>
      <c r="B12" s="44"/>
      <c r="C12" s="45">
        <f t="shared" si="0"/>
        <v>9</v>
      </c>
      <c r="D12" s="47">
        <f>+'HS - Lane and Step Schedule'!C15</f>
        <v>5932</v>
      </c>
      <c r="E12" s="47">
        <f>+'HS - Lane and Step Schedule'!E15</f>
        <v>4805</v>
      </c>
      <c r="F12" s="47">
        <f>+'HS - Lane and Step Schedule'!G15</f>
        <v>4271</v>
      </c>
      <c r="G12" s="47">
        <f>+'HS - Lane and Step Schedule'!I15</f>
        <v>3797</v>
      </c>
      <c r="H12" s="47">
        <f>+'HS - Lane and Step Schedule'!K15</f>
        <v>3381</v>
      </c>
      <c r="I12" s="47">
        <f>+'HS - Lane and Step Schedule'!M15</f>
        <v>2907</v>
      </c>
      <c r="J12" s="47">
        <f>+'HS - Lane and Step Schedule'!O15</f>
        <v>2670</v>
      </c>
      <c r="K12" s="47">
        <f>+'HS - Lane and Step Schedule'!Q15</f>
        <v>2373</v>
      </c>
      <c r="L12" s="47">
        <f>+'HS - Lane and Step Schedule'!S15</f>
        <v>1602</v>
      </c>
      <c r="M12" s="47">
        <f>+'HS - Lane and Step Schedule'!U15</f>
        <v>1127</v>
      </c>
    </row>
    <row r="13" spans="1:21" x14ac:dyDescent="0.3">
      <c r="A13" s="44"/>
      <c r="B13" s="44"/>
      <c r="C13" s="45">
        <f t="shared" si="0"/>
        <v>10</v>
      </c>
      <c r="D13" s="47">
        <f>+'HS - Lane and Step Schedule'!C16</f>
        <v>6229</v>
      </c>
      <c r="E13" s="47">
        <f>+'HS - Lane and Step Schedule'!E16</f>
        <v>5045</v>
      </c>
      <c r="F13" s="47">
        <f>+'HS - Lane and Step Schedule'!G16</f>
        <v>4485</v>
      </c>
      <c r="G13" s="47">
        <f>+'HS - Lane and Step Schedule'!I16</f>
        <v>3986</v>
      </c>
      <c r="H13" s="47">
        <f>+'HS - Lane and Step Schedule'!K16</f>
        <v>3550</v>
      </c>
      <c r="I13" s="47">
        <f>+'HS - Lane and Step Schedule'!M16</f>
        <v>3052</v>
      </c>
      <c r="J13" s="47">
        <f>+'HS - Lane and Step Schedule'!O16</f>
        <v>2803</v>
      </c>
      <c r="K13" s="47">
        <f>+'HS - Lane and Step Schedule'!Q16</f>
        <v>2492</v>
      </c>
      <c r="L13" s="47">
        <f>+'HS - Lane and Step Schedule'!S16</f>
        <v>1682</v>
      </c>
      <c r="M13" s="47">
        <f>+'HS - Lane and Step Schedule'!U16</f>
        <v>1183</v>
      </c>
      <c r="O13" s="43" t="s">
        <v>121</v>
      </c>
    </row>
    <row r="14" spans="1:21" x14ac:dyDescent="0.3">
      <c r="C14" s="45">
        <f t="shared" si="0"/>
        <v>11</v>
      </c>
      <c r="D14" s="47">
        <f>+'HS - Lane and Step Schedule'!C17</f>
        <v>6229</v>
      </c>
      <c r="E14" s="47">
        <f>+'HS - Lane and Step Schedule'!E17</f>
        <v>5045</v>
      </c>
      <c r="F14" s="47">
        <f>+'HS - Lane and Step Schedule'!G17</f>
        <v>4485</v>
      </c>
      <c r="G14" s="47">
        <f>+'HS - Lane and Step Schedule'!I17</f>
        <v>3986</v>
      </c>
      <c r="H14" s="47">
        <f>+'HS - Lane and Step Schedule'!K17</f>
        <v>3550</v>
      </c>
      <c r="I14" s="47">
        <f>+'HS - Lane and Step Schedule'!M17</f>
        <v>3052</v>
      </c>
      <c r="J14" s="47">
        <f>+'HS - Lane and Step Schedule'!O17</f>
        <v>2803</v>
      </c>
      <c r="K14" s="47">
        <f>+'HS - Lane and Step Schedule'!Q17</f>
        <v>2492</v>
      </c>
      <c r="L14" s="47">
        <f>+'HS - Lane and Step Schedule'!S17</f>
        <v>1682</v>
      </c>
      <c r="M14" s="47">
        <f>+'HS - Lane and Step Schedule'!U17</f>
        <v>1183</v>
      </c>
    </row>
    <row r="15" spans="1:21" x14ac:dyDescent="0.3">
      <c r="C15" s="45">
        <f t="shared" si="0"/>
        <v>12</v>
      </c>
      <c r="D15" s="47">
        <f>+'HS - Lane and Step Schedule'!C18</f>
        <v>6229</v>
      </c>
      <c r="E15" s="47">
        <f>+'HS - Lane and Step Schedule'!E18</f>
        <v>5045</v>
      </c>
      <c r="F15" s="47">
        <f>+'HS - Lane and Step Schedule'!G18</f>
        <v>4485</v>
      </c>
      <c r="G15" s="47">
        <f>+'HS - Lane and Step Schedule'!I18</f>
        <v>3986</v>
      </c>
      <c r="H15" s="47">
        <f>+'HS - Lane and Step Schedule'!K18</f>
        <v>3550</v>
      </c>
      <c r="I15" s="47">
        <f>+'HS - Lane and Step Schedule'!M18</f>
        <v>3052</v>
      </c>
      <c r="J15" s="47">
        <f>+'HS - Lane and Step Schedule'!O18</f>
        <v>2803</v>
      </c>
      <c r="K15" s="47">
        <f>+'HS - Lane and Step Schedule'!Q18</f>
        <v>2492</v>
      </c>
      <c r="L15" s="47">
        <f>+'HS - Lane and Step Schedule'!S18</f>
        <v>1682</v>
      </c>
      <c r="M15" s="47">
        <f>+'HS - Lane and Step Schedule'!U18</f>
        <v>1183</v>
      </c>
      <c r="O15" s="43" t="s">
        <v>122</v>
      </c>
      <c r="P15" s="91" t="s">
        <v>126</v>
      </c>
      <c r="Q15" s="91" t="s">
        <v>129</v>
      </c>
    </row>
    <row r="16" spans="1:21" x14ac:dyDescent="0.3">
      <c r="C16" s="45">
        <f t="shared" si="0"/>
        <v>13</v>
      </c>
      <c r="D16" s="47">
        <f>+'HS - Lane and Step Schedule'!C19</f>
        <v>6291</v>
      </c>
      <c r="E16" s="47">
        <f>+'HS - Lane and Step Schedule'!E19</f>
        <v>5096</v>
      </c>
      <c r="F16" s="47">
        <f>+'HS - Lane and Step Schedule'!G19</f>
        <v>4530</v>
      </c>
      <c r="G16" s="47">
        <f>+'HS - Lane and Step Schedule'!I19</f>
        <v>4026</v>
      </c>
      <c r="H16" s="47">
        <f>+'HS - Lane and Step Schedule'!K19</f>
        <v>3586</v>
      </c>
      <c r="I16" s="47">
        <f>+'HS - Lane and Step Schedule'!M19</f>
        <v>3083</v>
      </c>
      <c r="J16" s="47">
        <f>+'HS - Lane and Step Schedule'!O19</f>
        <v>2831</v>
      </c>
      <c r="K16" s="47">
        <f>+'HS - Lane and Step Schedule'!Q19</f>
        <v>2516</v>
      </c>
      <c r="L16" s="47">
        <f>+'HS - Lane and Step Schedule'!S19</f>
        <v>1699</v>
      </c>
      <c r="M16" s="47">
        <f>+'HS - Lane and Step Schedule'!U19</f>
        <v>1195</v>
      </c>
      <c r="O16" s="43" t="s">
        <v>123</v>
      </c>
      <c r="P16" s="91" t="s">
        <v>127</v>
      </c>
      <c r="Q16" s="91" t="s">
        <v>130</v>
      </c>
    </row>
    <row r="17" spans="1:30" x14ac:dyDescent="0.3">
      <c r="C17" s="45">
        <f t="shared" si="0"/>
        <v>14</v>
      </c>
      <c r="D17" s="47">
        <f>+'HS - Lane and Step Schedule'!C20</f>
        <v>6291</v>
      </c>
      <c r="E17" s="47">
        <f>+'HS - Lane and Step Schedule'!E20</f>
        <v>5096</v>
      </c>
      <c r="F17" s="47">
        <f>+'HS - Lane and Step Schedule'!G20</f>
        <v>4530</v>
      </c>
      <c r="G17" s="47">
        <f>+'HS - Lane and Step Schedule'!I20</f>
        <v>4026</v>
      </c>
      <c r="H17" s="47">
        <f>+'HS - Lane and Step Schedule'!K20</f>
        <v>3586</v>
      </c>
      <c r="I17" s="47">
        <f>+'HS - Lane and Step Schedule'!M20</f>
        <v>3083</v>
      </c>
      <c r="J17" s="47">
        <f>+'HS - Lane and Step Schedule'!O20</f>
        <v>2831</v>
      </c>
      <c r="K17" s="47">
        <f>+'HS - Lane and Step Schedule'!Q20</f>
        <v>2516</v>
      </c>
      <c r="L17" s="47">
        <f>+'HS - Lane and Step Schedule'!S20</f>
        <v>1699</v>
      </c>
      <c r="M17" s="47">
        <f>+'HS - Lane and Step Schedule'!U20</f>
        <v>1195</v>
      </c>
      <c r="O17" s="43" t="s">
        <v>124</v>
      </c>
      <c r="P17" s="91" t="s">
        <v>128</v>
      </c>
      <c r="Q17" s="91" t="s">
        <v>131</v>
      </c>
    </row>
    <row r="18" spans="1:30" x14ac:dyDescent="0.3">
      <c r="C18" s="45">
        <f t="shared" si="0"/>
        <v>15</v>
      </c>
      <c r="D18" s="47">
        <f>+'HS - Lane and Step Schedule'!C21</f>
        <v>6291</v>
      </c>
      <c r="E18" s="47">
        <f>+'HS - Lane and Step Schedule'!E21</f>
        <v>5096</v>
      </c>
      <c r="F18" s="47">
        <f>+'HS - Lane and Step Schedule'!G21</f>
        <v>4530</v>
      </c>
      <c r="G18" s="47">
        <f>+'HS - Lane and Step Schedule'!I21</f>
        <v>4026</v>
      </c>
      <c r="H18" s="47">
        <f>+'HS - Lane and Step Schedule'!K21</f>
        <v>3586</v>
      </c>
      <c r="I18" s="47">
        <f>+'HS - Lane and Step Schedule'!M21</f>
        <v>3083</v>
      </c>
      <c r="J18" s="47">
        <f>+'HS - Lane and Step Schedule'!O21</f>
        <v>2831</v>
      </c>
      <c r="K18" s="47">
        <f>+'HS - Lane and Step Schedule'!Q21</f>
        <v>2516</v>
      </c>
      <c r="L18" s="47">
        <f>+'HS - Lane and Step Schedule'!S21</f>
        <v>1699</v>
      </c>
      <c r="M18" s="47">
        <f>+'HS - Lane and Step Schedule'!U21</f>
        <v>1195</v>
      </c>
      <c r="O18" s="43" t="s">
        <v>125</v>
      </c>
      <c r="P18" s="43" t="s">
        <v>132</v>
      </c>
      <c r="Q18" s="43" t="s">
        <v>132</v>
      </c>
    </row>
    <row r="19" spans="1:30" x14ac:dyDescent="0.3">
      <c r="C19" s="45">
        <f t="shared" si="0"/>
        <v>16</v>
      </c>
      <c r="D19" s="47">
        <f>+'HS - Lane and Step Schedule'!C22</f>
        <v>6354</v>
      </c>
      <c r="E19" s="47">
        <f>+'HS - Lane and Step Schedule'!E22</f>
        <v>5147</v>
      </c>
      <c r="F19" s="47">
        <f>+'HS - Lane and Step Schedule'!G22</f>
        <v>4575</v>
      </c>
      <c r="G19" s="47">
        <f>+'HS - Lane and Step Schedule'!I22</f>
        <v>4067</v>
      </c>
      <c r="H19" s="47">
        <f>+'HS - Lane and Step Schedule'!K22</f>
        <v>3622</v>
      </c>
      <c r="I19" s="47">
        <f>+'HS - Lane and Step Schedule'!M22</f>
        <v>3113</v>
      </c>
      <c r="J19" s="47">
        <f>+'HS - Lane and Step Schedule'!O22</f>
        <v>2859</v>
      </c>
      <c r="K19" s="47">
        <f>+'HS - Lane and Step Schedule'!Q22</f>
        <v>2542</v>
      </c>
      <c r="L19" s="47">
        <f>+'HS - Lane and Step Schedule'!S22</f>
        <v>1716</v>
      </c>
      <c r="M19" s="47">
        <f>+'HS - Lane and Step Schedule'!U22</f>
        <v>1207</v>
      </c>
    </row>
    <row r="20" spans="1:30" x14ac:dyDescent="0.3">
      <c r="C20" s="45">
        <f t="shared" si="0"/>
        <v>17</v>
      </c>
      <c r="D20" s="47">
        <f>+'HS - Lane and Step Schedule'!C23</f>
        <v>6354</v>
      </c>
      <c r="E20" s="47">
        <f>+'HS - Lane and Step Schedule'!E23</f>
        <v>5147</v>
      </c>
      <c r="F20" s="47">
        <f>+'HS - Lane and Step Schedule'!G23</f>
        <v>4575</v>
      </c>
      <c r="G20" s="47">
        <f>+'HS - Lane and Step Schedule'!I23</f>
        <v>4067</v>
      </c>
      <c r="H20" s="47">
        <f>+'HS - Lane and Step Schedule'!K23</f>
        <v>3622</v>
      </c>
      <c r="I20" s="47">
        <f>+'HS - Lane and Step Schedule'!M23</f>
        <v>3113</v>
      </c>
      <c r="J20" s="47">
        <f>+'HS - Lane and Step Schedule'!O23</f>
        <v>2859</v>
      </c>
      <c r="K20" s="47">
        <f>+'HS - Lane and Step Schedule'!Q23</f>
        <v>2542</v>
      </c>
      <c r="L20" s="47">
        <f>+'HS - Lane and Step Schedule'!S23</f>
        <v>1716</v>
      </c>
      <c r="M20" s="47">
        <f>+'HS - Lane and Step Schedule'!U23</f>
        <v>1207</v>
      </c>
      <c r="O20" s="43" t="s">
        <v>151</v>
      </c>
      <c r="Q20" s="43" t="s">
        <v>153</v>
      </c>
    </row>
    <row r="21" spans="1:30" x14ac:dyDescent="0.3">
      <c r="C21" s="45">
        <f t="shared" si="0"/>
        <v>18</v>
      </c>
      <c r="D21" s="47">
        <f>+'HS - Lane and Step Schedule'!C24</f>
        <v>6354</v>
      </c>
      <c r="E21" s="47">
        <f>+'HS - Lane and Step Schedule'!E24</f>
        <v>5147</v>
      </c>
      <c r="F21" s="47">
        <f>+'HS - Lane and Step Schedule'!G24</f>
        <v>4575</v>
      </c>
      <c r="G21" s="47">
        <f>+'HS - Lane and Step Schedule'!I24</f>
        <v>4067</v>
      </c>
      <c r="H21" s="47">
        <f>+'HS - Lane and Step Schedule'!K24</f>
        <v>3622</v>
      </c>
      <c r="I21" s="47">
        <f>+'HS - Lane and Step Schedule'!M24</f>
        <v>3113</v>
      </c>
      <c r="J21" s="47">
        <f>+'HS - Lane and Step Schedule'!O24</f>
        <v>2859</v>
      </c>
      <c r="K21" s="47">
        <f>+'HS - Lane and Step Schedule'!Q24</f>
        <v>2542</v>
      </c>
      <c r="L21" s="47">
        <f>+'HS - Lane and Step Schedule'!S24</f>
        <v>1716</v>
      </c>
      <c r="M21" s="47">
        <f>+'HS - Lane and Step Schedule'!U24</f>
        <v>1207</v>
      </c>
    </row>
    <row r="22" spans="1:30" x14ac:dyDescent="0.3">
      <c r="C22" s="45">
        <v>19</v>
      </c>
      <c r="D22" s="47">
        <f>+'HS - Lane and Step Schedule'!C25</f>
        <v>6418</v>
      </c>
      <c r="E22" s="47">
        <f>+'HS - Lane and Step Schedule'!E25</f>
        <v>5198</v>
      </c>
      <c r="F22" s="47">
        <f>+'HS - Lane and Step Schedule'!G25</f>
        <v>4621</v>
      </c>
      <c r="G22" s="47">
        <f>+'HS - Lane and Step Schedule'!I25</f>
        <v>4107</v>
      </c>
      <c r="H22" s="47">
        <f>+'HS - Lane and Step Schedule'!K25</f>
        <v>3658</v>
      </c>
      <c r="I22" s="47">
        <f>+'HS - Lane and Step Schedule'!M25</f>
        <v>3145</v>
      </c>
      <c r="J22" s="47">
        <f>+'HS - Lane and Step Schedule'!O25</f>
        <v>2888</v>
      </c>
      <c r="K22" s="47">
        <f>+'HS - Lane and Step Schedule'!Q25</f>
        <v>2567</v>
      </c>
      <c r="L22" s="47">
        <f>+'HS - Lane and Step Schedule'!S25</f>
        <v>1733</v>
      </c>
      <c r="M22" s="47">
        <f>+'HS - Lane and Step Schedule'!U25</f>
        <v>1219</v>
      </c>
      <c r="O22" s="43" t="s">
        <v>150</v>
      </c>
      <c r="Q22" s="43" t="s">
        <v>150</v>
      </c>
    </row>
    <row r="23" spans="1:30" x14ac:dyDescent="0.3">
      <c r="O23" s="146" t="s">
        <v>152</v>
      </c>
      <c r="Q23" s="146" t="s">
        <v>152</v>
      </c>
    </row>
    <row r="25" spans="1:30" ht="27.6" x14ac:dyDescent="0.3">
      <c r="A25" s="43" t="s">
        <v>89</v>
      </c>
      <c r="U25" s="70" t="s">
        <v>99</v>
      </c>
    </row>
    <row r="26" spans="1:30" ht="41.4" x14ac:dyDescent="0.3">
      <c r="A26" s="44"/>
      <c r="B26" s="44"/>
      <c r="C26" s="70" t="s">
        <v>95</v>
      </c>
      <c r="D26" s="70" t="s">
        <v>96</v>
      </c>
      <c r="E26" s="70" t="s">
        <v>97</v>
      </c>
      <c r="F26" s="48" t="s">
        <v>100</v>
      </c>
      <c r="G26" s="48" t="s">
        <v>100</v>
      </c>
      <c r="H26" s="48" t="s">
        <v>100</v>
      </c>
      <c r="I26" s="48" t="s">
        <v>100</v>
      </c>
      <c r="J26" s="48" t="s">
        <v>100</v>
      </c>
      <c r="K26" s="48" t="s">
        <v>100</v>
      </c>
      <c r="L26" s="48" t="s">
        <v>100</v>
      </c>
      <c r="M26" s="48" t="s">
        <v>100</v>
      </c>
      <c r="N26" s="48" t="s">
        <v>100</v>
      </c>
      <c r="O26" s="48" t="s">
        <v>100</v>
      </c>
      <c r="P26" s="48" t="s">
        <v>100</v>
      </c>
      <c r="Q26" s="48" t="s">
        <v>100</v>
      </c>
      <c r="R26" s="72" t="s">
        <v>98</v>
      </c>
      <c r="S26" s="70" t="s">
        <v>99</v>
      </c>
      <c r="T26" s="70" t="s">
        <v>99</v>
      </c>
      <c r="U26" s="44" t="s">
        <v>79</v>
      </c>
      <c r="V26" s="70" t="s">
        <v>99</v>
      </c>
      <c r="W26" s="70" t="s">
        <v>99</v>
      </c>
      <c r="X26" s="70" t="s">
        <v>99</v>
      </c>
      <c r="Y26" s="70" t="s">
        <v>99</v>
      </c>
      <c r="Z26" s="70" t="s">
        <v>99</v>
      </c>
      <c r="AA26" s="70" t="s">
        <v>99</v>
      </c>
      <c r="AB26" s="70" t="s">
        <v>99</v>
      </c>
      <c r="AC26" s="70" t="s">
        <v>99</v>
      </c>
      <c r="AD26" s="70" t="s">
        <v>99</v>
      </c>
    </row>
    <row r="27" spans="1:30" x14ac:dyDescent="0.3">
      <c r="A27" s="49" t="str">
        <f>+'HS - Positions and Funding'!A6</f>
        <v>Athletics Oversight</v>
      </c>
      <c r="B27" s="50">
        <f>+'HS - Positions and Funding'!B6</f>
        <v>0</v>
      </c>
      <c r="C27" s="54">
        <f>+'HS - Positions and Funding'!D6</f>
        <v>0</v>
      </c>
      <c r="D27" s="54">
        <f>+'HS - Positions and Funding'!D7</f>
        <v>0</v>
      </c>
      <c r="E27" s="49" t="str">
        <f>+'HS - Positions and Funding'!C6</f>
        <v>Head Director</v>
      </c>
      <c r="F27" s="75" t="str">
        <f>+'HS - Positions and Funding'!C7</f>
        <v>Assistant Director</v>
      </c>
      <c r="G27" s="71" t="str">
        <f t="shared" ref="G27:G35" si="1">F27</f>
        <v>Assistant Director</v>
      </c>
      <c r="H27" s="44" t="s">
        <v>79</v>
      </c>
      <c r="I27" s="44" t="s">
        <v>79</v>
      </c>
      <c r="J27" s="44" t="s">
        <v>79</v>
      </c>
      <c r="K27" s="44" t="s">
        <v>79</v>
      </c>
      <c r="L27" s="44" t="s">
        <v>79</v>
      </c>
      <c r="M27" s="44" t="s">
        <v>79</v>
      </c>
      <c r="N27" s="44" t="s">
        <v>79</v>
      </c>
      <c r="O27" s="44" t="s">
        <v>79</v>
      </c>
      <c r="P27" s="44" t="s">
        <v>79</v>
      </c>
      <c r="Q27" s="44" t="s">
        <v>79</v>
      </c>
      <c r="R27" s="73" t="str">
        <f>+'HS - Positions and Funding'!E6</f>
        <v>A</v>
      </c>
      <c r="S27" s="74" t="str">
        <f>+'HS - Positions and Funding'!E7</f>
        <v>E</v>
      </c>
      <c r="T27" s="71" t="str">
        <f t="shared" ref="T27:T35" si="2">S27</f>
        <v>E</v>
      </c>
      <c r="U27" s="44" t="s">
        <v>79</v>
      </c>
      <c r="V27" s="44" t="s">
        <v>79</v>
      </c>
      <c r="W27" s="44" t="s">
        <v>79</v>
      </c>
      <c r="X27" s="44" t="s">
        <v>79</v>
      </c>
      <c r="Y27" s="44" t="s">
        <v>79</v>
      </c>
      <c r="Z27" s="44" t="s">
        <v>79</v>
      </c>
      <c r="AA27" s="44" t="s">
        <v>79</v>
      </c>
      <c r="AB27" s="44" t="s">
        <v>79</v>
      </c>
      <c r="AC27" s="44" t="s">
        <v>79</v>
      </c>
      <c r="AD27" s="44" t="s">
        <v>79</v>
      </c>
    </row>
    <row r="28" spans="1:30" x14ac:dyDescent="0.3">
      <c r="A28" s="49" t="str">
        <f>+'HS - Positions and Funding'!A8</f>
        <v>Activities Oversight</v>
      </c>
      <c r="B28" s="50">
        <f>+'HS - Positions and Funding'!B8</f>
        <v>0</v>
      </c>
      <c r="C28" s="54">
        <f>+'HS - Positions and Funding'!D9</f>
        <v>1</v>
      </c>
      <c r="D28" s="71">
        <f>+'HS - Positions and Funding'!D7</f>
        <v>0</v>
      </c>
      <c r="E28" s="49" t="str">
        <f>+'HS - Positions and Funding'!C8</f>
        <v>Head Director</v>
      </c>
      <c r="F28" s="75" t="str">
        <f>+'HS - Positions and Funding'!C9</f>
        <v>Assistant Director</v>
      </c>
      <c r="G28" s="71" t="str">
        <f t="shared" si="1"/>
        <v>Assistant Director</v>
      </c>
      <c r="H28" s="44" t="s">
        <v>79</v>
      </c>
      <c r="I28" s="44" t="s">
        <v>79</v>
      </c>
      <c r="J28" s="44" t="s">
        <v>79</v>
      </c>
      <c r="K28" s="44" t="s">
        <v>79</v>
      </c>
      <c r="L28" s="44" t="s">
        <v>79</v>
      </c>
      <c r="M28" s="44" t="s">
        <v>79</v>
      </c>
      <c r="N28" s="44" t="s">
        <v>79</v>
      </c>
      <c r="O28" s="44" t="s">
        <v>79</v>
      </c>
      <c r="P28" s="44" t="s">
        <v>79</v>
      </c>
      <c r="Q28" s="44" t="s">
        <v>79</v>
      </c>
      <c r="R28" s="73" t="str">
        <f>+'HS - Positions and Funding'!E8</f>
        <v>A</v>
      </c>
      <c r="S28" s="74" t="str">
        <f>+'HS - Positions and Funding'!E9</f>
        <v>E</v>
      </c>
      <c r="T28" s="71" t="str">
        <f t="shared" si="2"/>
        <v>E</v>
      </c>
      <c r="U28" s="71" t="str">
        <f>T29</f>
        <v>F</v>
      </c>
      <c r="V28" s="44" t="s">
        <v>79</v>
      </c>
      <c r="W28" s="44" t="s">
        <v>79</v>
      </c>
      <c r="X28" s="44" t="s">
        <v>79</v>
      </c>
      <c r="Y28" s="44" t="s">
        <v>79</v>
      </c>
      <c r="Z28" s="44" t="s">
        <v>79</v>
      </c>
      <c r="AA28" s="44" t="s">
        <v>79</v>
      </c>
      <c r="AB28" s="44" t="s">
        <v>79</v>
      </c>
      <c r="AC28" s="44" t="s">
        <v>79</v>
      </c>
      <c r="AD28" s="44" t="s">
        <v>79</v>
      </c>
    </row>
    <row r="29" spans="1:30" x14ac:dyDescent="0.3">
      <c r="A29" s="49" t="str">
        <f>+'HS - Positions and Funding'!A12</f>
        <v>Band</v>
      </c>
      <c r="B29" s="50">
        <f>+'HS - Positions and Funding'!B12</f>
        <v>8097</v>
      </c>
      <c r="C29" s="54">
        <f>+'HS - Positions and Funding'!D12</f>
        <v>1</v>
      </c>
      <c r="D29" s="71">
        <f>+'HS - Positions and Funding'!D13</f>
        <v>2</v>
      </c>
      <c r="E29" s="49" t="str">
        <f>+'HS - Positions and Funding'!C12</f>
        <v>Head Advisor</v>
      </c>
      <c r="F29" s="75" t="str">
        <f>+'HS - Positions and Funding'!C13</f>
        <v>Assistant Advisor</v>
      </c>
      <c r="G29" s="71" t="str">
        <f t="shared" si="1"/>
        <v>Assistant Advisor</v>
      </c>
      <c r="H29" s="71" t="str">
        <f t="shared" ref="H29:I29" si="3">G29</f>
        <v>Assistant Advisor</v>
      </c>
      <c r="I29" s="71" t="str">
        <f t="shared" si="3"/>
        <v>Assistant Advisor</v>
      </c>
      <c r="J29" s="44" t="s">
        <v>79</v>
      </c>
      <c r="K29" s="44" t="s">
        <v>79</v>
      </c>
      <c r="L29" s="44" t="s">
        <v>79</v>
      </c>
      <c r="M29" s="44" t="s">
        <v>79</v>
      </c>
      <c r="N29" s="44" t="s">
        <v>79</v>
      </c>
      <c r="O29" s="44" t="s">
        <v>79</v>
      </c>
      <c r="P29" s="44" t="s">
        <v>79</v>
      </c>
      <c r="Q29" s="44" t="s">
        <v>79</v>
      </c>
      <c r="R29" s="73" t="str">
        <f>+'HS - Positions and Funding'!E12</f>
        <v>B</v>
      </c>
      <c r="S29" s="74" t="str">
        <f>+'HS - Positions and Funding'!E13</f>
        <v>F</v>
      </c>
      <c r="T29" s="71" t="str">
        <f t="shared" si="2"/>
        <v>F</v>
      </c>
      <c r="U29" s="71" t="str">
        <f>T30</f>
        <v>G</v>
      </c>
      <c r="V29" s="71" t="str">
        <f>U28</f>
        <v>F</v>
      </c>
      <c r="W29" s="44" t="s">
        <v>79</v>
      </c>
      <c r="X29" s="44" t="s">
        <v>79</v>
      </c>
      <c r="Y29" s="44" t="s">
        <v>79</v>
      </c>
      <c r="Z29" s="44" t="s">
        <v>79</v>
      </c>
      <c r="AA29" s="44" t="s">
        <v>79</v>
      </c>
      <c r="AB29" s="44" t="s">
        <v>79</v>
      </c>
      <c r="AC29" s="44" t="s">
        <v>79</v>
      </c>
      <c r="AD29" s="44" t="s">
        <v>79</v>
      </c>
    </row>
    <row r="30" spans="1:30" x14ac:dyDescent="0.3">
      <c r="A30" s="49" t="str">
        <f>+'HS - Positions and Funding'!A14</f>
        <v>Baseball</v>
      </c>
      <c r="B30" s="50">
        <f>+'HS - Positions and Funding'!B14</f>
        <v>12894</v>
      </c>
      <c r="C30" s="54">
        <f>+'HS - Positions and Funding'!D14</f>
        <v>1</v>
      </c>
      <c r="D30" s="71">
        <f>+'HS - Positions and Funding'!D15</f>
        <v>6</v>
      </c>
      <c r="E30" s="49" t="str">
        <f>+'HS - Positions and Funding'!C14</f>
        <v>Head Coach</v>
      </c>
      <c r="F30" s="75" t="str">
        <f>+'HS - Positions and Funding'!C15</f>
        <v>Assistant Coach</v>
      </c>
      <c r="G30" s="71" t="str">
        <f t="shared" si="1"/>
        <v>Assistant Coach</v>
      </c>
      <c r="H30" s="71" t="str">
        <f t="shared" ref="H30:K32" si="4">G30</f>
        <v>Assistant Coach</v>
      </c>
      <c r="I30" s="71" t="str">
        <f t="shared" si="4"/>
        <v>Assistant Coach</v>
      </c>
      <c r="J30" s="71" t="str">
        <f t="shared" si="4"/>
        <v>Assistant Coach</v>
      </c>
      <c r="K30" s="71" t="str">
        <f t="shared" si="4"/>
        <v>Assistant Coach</v>
      </c>
      <c r="L30" s="44" t="s">
        <v>79</v>
      </c>
      <c r="M30" s="44" t="s">
        <v>79</v>
      </c>
      <c r="N30" s="44" t="s">
        <v>79</v>
      </c>
      <c r="O30" s="44" t="s">
        <v>79</v>
      </c>
      <c r="P30" s="44" t="s">
        <v>79</v>
      </c>
      <c r="Q30" s="44" t="s">
        <v>79</v>
      </c>
      <c r="R30" s="73" t="str">
        <f>+'HS - Positions and Funding'!E14</f>
        <v>C</v>
      </c>
      <c r="S30" s="74" t="str">
        <f>+'HS - Positions and Funding'!E15</f>
        <v>G</v>
      </c>
      <c r="T30" s="71" t="str">
        <f t="shared" si="2"/>
        <v>G</v>
      </c>
      <c r="U30" s="71" t="str">
        <f>T31</f>
        <v>E</v>
      </c>
      <c r="V30" s="71" t="str">
        <f>U29</f>
        <v>G</v>
      </c>
      <c r="W30" s="71" t="str">
        <f t="shared" ref="W30:X30" si="5">V30</f>
        <v>G</v>
      </c>
      <c r="X30" s="71" t="str">
        <f t="shared" si="5"/>
        <v>G</v>
      </c>
      <c r="Y30" s="44" t="s">
        <v>79</v>
      </c>
      <c r="Z30" s="44" t="s">
        <v>79</v>
      </c>
      <c r="AA30" s="44" t="s">
        <v>79</v>
      </c>
      <c r="AB30" s="44" t="s">
        <v>79</v>
      </c>
      <c r="AC30" s="44" t="s">
        <v>79</v>
      </c>
      <c r="AD30" s="44" t="s">
        <v>79</v>
      </c>
    </row>
    <row r="31" spans="1:30" x14ac:dyDescent="0.3">
      <c r="A31" s="49" t="str">
        <f>+'HS - Positions and Funding'!A16</f>
        <v>Basketball - Boys</v>
      </c>
      <c r="B31" s="50">
        <f>+'HS - Positions and Funding'!B16</f>
        <v>18656</v>
      </c>
      <c r="C31" s="54">
        <f>+'HS - Positions and Funding'!D16</f>
        <v>1</v>
      </c>
      <c r="D31" s="54">
        <f>+'HS - Positions and Funding'!D17</f>
        <v>8</v>
      </c>
      <c r="E31" s="49" t="str">
        <f>+'HS - Positions and Funding'!C16</f>
        <v>Head Coach</v>
      </c>
      <c r="F31" s="75" t="str">
        <f>+'HS - Positions and Funding'!C17</f>
        <v>Assistant Coach</v>
      </c>
      <c r="G31" s="71" t="str">
        <f t="shared" si="1"/>
        <v>Assistant Coach</v>
      </c>
      <c r="H31" s="71" t="str">
        <f t="shared" si="4"/>
        <v>Assistant Coach</v>
      </c>
      <c r="I31" s="71" t="str">
        <f t="shared" si="4"/>
        <v>Assistant Coach</v>
      </c>
      <c r="J31" s="71" t="str">
        <f t="shared" si="4"/>
        <v>Assistant Coach</v>
      </c>
      <c r="K31" s="71" t="str">
        <f t="shared" si="4"/>
        <v>Assistant Coach</v>
      </c>
      <c r="L31" s="44" t="s">
        <v>79</v>
      </c>
      <c r="M31" s="44" t="s">
        <v>79</v>
      </c>
      <c r="N31" s="44" t="s">
        <v>79</v>
      </c>
      <c r="O31" s="44" t="s">
        <v>79</v>
      </c>
      <c r="P31" s="44" t="s">
        <v>79</v>
      </c>
      <c r="Q31" s="44" t="s">
        <v>79</v>
      </c>
      <c r="R31" s="73" t="str">
        <f>+'HS - Positions and Funding'!E16</f>
        <v>A</v>
      </c>
      <c r="S31" s="74" t="str">
        <f>+'HS - Positions and Funding'!E17</f>
        <v>E</v>
      </c>
      <c r="T31" s="71" t="str">
        <f t="shared" si="2"/>
        <v>E</v>
      </c>
      <c r="U31" s="71" t="str">
        <f>T32</f>
        <v>E</v>
      </c>
      <c r="V31" s="71" t="str">
        <f>U30</f>
        <v>E</v>
      </c>
      <c r="W31" s="71" t="str">
        <f t="shared" ref="W31:X31" si="6">V31</f>
        <v>E</v>
      </c>
      <c r="X31" s="71" t="str">
        <f t="shared" si="6"/>
        <v>E</v>
      </c>
      <c r="Y31" s="44" t="s">
        <v>79</v>
      </c>
      <c r="Z31" s="44" t="s">
        <v>79</v>
      </c>
      <c r="AA31" s="44" t="s">
        <v>79</v>
      </c>
      <c r="AB31" s="44" t="s">
        <v>79</v>
      </c>
      <c r="AC31" s="44" t="s">
        <v>79</v>
      </c>
      <c r="AD31" s="44" t="s">
        <v>79</v>
      </c>
    </row>
    <row r="32" spans="1:30" x14ac:dyDescent="0.3">
      <c r="A32" s="49" t="str">
        <f>+'HS - Positions and Funding'!A18</f>
        <v>Basketball - Girls</v>
      </c>
      <c r="B32" s="50">
        <f>+'HS - Positions and Funding'!B18</f>
        <v>18656</v>
      </c>
      <c r="C32" s="54">
        <f>+'HS - Positions and Funding'!D18</f>
        <v>1</v>
      </c>
      <c r="D32" s="54">
        <f>+'HS - Positions and Funding'!D19</f>
        <v>8</v>
      </c>
      <c r="E32" s="49" t="str">
        <f>+'HS - Positions and Funding'!C18</f>
        <v>Head Coach</v>
      </c>
      <c r="F32" s="75" t="str">
        <f>+'HS - Positions and Funding'!C19</f>
        <v>Assistant Coach</v>
      </c>
      <c r="G32" s="71" t="str">
        <f t="shared" si="1"/>
        <v>Assistant Coach</v>
      </c>
      <c r="H32" s="71" t="str">
        <f t="shared" si="4"/>
        <v>Assistant Coach</v>
      </c>
      <c r="I32" s="71" t="str">
        <f t="shared" si="4"/>
        <v>Assistant Coach</v>
      </c>
      <c r="J32" s="71" t="str">
        <f t="shared" si="4"/>
        <v>Assistant Coach</v>
      </c>
      <c r="K32" s="71" t="str">
        <f t="shared" si="4"/>
        <v>Assistant Coach</v>
      </c>
      <c r="L32" s="44" t="s">
        <v>79</v>
      </c>
      <c r="M32" s="44" t="s">
        <v>79</v>
      </c>
      <c r="N32" s="44" t="s">
        <v>79</v>
      </c>
      <c r="O32" s="44" t="s">
        <v>79</v>
      </c>
      <c r="P32" s="44" t="s">
        <v>79</v>
      </c>
      <c r="Q32" s="44" t="s">
        <v>79</v>
      </c>
      <c r="R32" s="73" t="str">
        <f>+'HS - Positions and Funding'!E18</f>
        <v>A</v>
      </c>
      <c r="S32" s="74" t="str">
        <f>+'HS - Positions and Funding'!E19</f>
        <v>E</v>
      </c>
      <c r="T32" s="71" t="str">
        <f t="shared" si="2"/>
        <v>E</v>
      </c>
      <c r="U32" s="44" t="s">
        <v>79</v>
      </c>
      <c r="V32" s="71" t="str">
        <f>U31</f>
        <v>E</v>
      </c>
      <c r="W32" s="71" t="str">
        <f t="shared" ref="W32:X32" si="7">V32</f>
        <v>E</v>
      </c>
      <c r="X32" s="71" t="str">
        <f t="shared" si="7"/>
        <v>E</v>
      </c>
      <c r="Y32" s="44" t="s">
        <v>79</v>
      </c>
      <c r="Z32" s="44" t="s">
        <v>79</v>
      </c>
      <c r="AA32" s="44" t="s">
        <v>79</v>
      </c>
      <c r="AB32" s="44" t="s">
        <v>79</v>
      </c>
      <c r="AC32" s="44" t="s">
        <v>79</v>
      </c>
      <c r="AD32" s="44" t="s">
        <v>79</v>
      </c>
    </row>
    <row r="33" spans="1:30" x14ac:dyDescent="0.3">
      <c r="A33" s="49" t="str">
        <f>+'HS - Positions and Funding'!A20</f>
        <v>Cheerleading</v>
      </c>
      <c r="B33" s="50">
        <f>+'HS - Positions and Funding'!B20</f>
        <v>8097</v>
      </c>
      <c r="C33" s="54">
        <f>+'HS - Positions and Funding'!D20</f>
        <v>1</v>
      </c>
      <c r="D33" s="54">
        <f>+'HS - Positions and Funding'!D21</f>
        <v>3</v>
      </c>
      <c r="E33" s="49" t="str">
        <f>+'HS - Positions and Funding'!C20</f>
        <v>Head Advisor</v>
      </c>
      <c r="F33" s="75" t="str">
        <f>+'HS - Positions and Funding'!C21</f>
        <v>Assistant Advisor</v>
      </c>
      <c r="G33" s="71" t="str">
        <f t="shared" si="1"/>
        <v>Assistant Advisor</v>
      </c>
      <c r="H33" s="44" t="s">
        <v>79</v>
      </c>
      <c r="I33" s="44" t="s">
        <v>79</v>
      </c>
      <c r="J33" s="44" t="s">
        <v>79</v>
      </c>
      <c r="K33" s="44" t="s">
        <v>79</v>
      </c>
      <c r="L33" s="44" t="s">
        <v>79</v>
      </c>
      <c r="M33" s="44" t="s">
        <v>79</v>
      </c>
      <c r="N33" s="44" t="s">
        <v>79</v>
      </c>
      <c r="O33" s="44" t="s">
        <v>79</v>
      </c>
      <c r="P33" s="44" t="s">
        <v>79</v>
      </c>
      <c r="Q33" s="44" t="s">
        <v>79</v>
      </c>
      <c r="R33" s="73" t="str">
        <f>+'HS - Positions and Funding'!E20</f>
        <v>B</v>
      </c>
      <c r="S33" s="74" t="str">
        <f>+'HS - Positions and Funding'!E21</f>
        <v>F</v>
      </c>
      <c r="T33" s="71" t="str">
        <f t="shared" si="2"/>
        <v>F</v>
      </c>
      <c r="U33" s="44" t="s">
        <v>79</v>
      </c>
      <c r="V33" s="44" t="s">
        <v>79</v>
      </c>
      <c r="W33" s="44" t="s">
        <v>79</v>
      </c>
      <c r="X33" s="44" t="s">
        <v>79</v>
      </c>
      <c r="Y33" s="44" t="s">
        <v>79</v>
      </c>
      <c r="Z33" s="44" t="s">
        <v>79</v>
      </c>
      <c r="AA33" s="44" t="s">
        <v>79</v>
      </c>
      <c r="AB33" s="44" t="s">
        <v>79</v>
      </c>
      <c r="AC33" s="44" t="s">
        <v>79</v>
      </c>
      <c r="AD33" s="44" t="s">
        <v>79</v>
      </c>
    </row>
    <row r="34" spans="1:30" x14ac:dyDescent="0.3">
      <c r="A34" s="49" t="str">
        <f>+'HS - Positions and Funding'!A22</f>
        <v>Choir</v>
      </c>
      <c r="B34" s="50">
        <f>+'HS - Positions and Funding'!B22</f>
        <v>8097</v>
      </c>
      <c r="C34" s="54">
        <f>+'HS - Positions and Funding'!D22</f>
        <v>1</v>
      </c>
      <c r="D34" s="54">
        <f>+'HS - Positions and Funding'!D23</f>
        <v>2</v>
      </c>
      <c r="E34" s="49" t="str">
        <f>+'HS - Positions and Funding'!C22</f>
        <v>Head Advisor</v>
      </c>
      <c r="F34" s="75" t="str">
        <f>+'HS - Positions and Funding'!C23</f>
        <v>Assistant Advisor</v>
      </c>
      <c r="G34" s="71" t="str">
        <f t="shared" si="1"/>
        <v>Assistant Advisor</v>
      </c>
      <c r="H34" s="44" t="s">
        <v>79</v>
      </c>
      <c r="I34" s="44" t="s">
        <v>79</v>
      </c>
      <c r="J34" s="44" t="s">
        <v>79</v>
      </c>
      <c r="K34" s="44" t="s">
        <v>79</v>
      </c>
      <c r="L34" s="44" t="s">
        <v>79</v>
      </c>
      <c r="M34" s="44" t="s">
        <v>79</v>
      </c>
      <c r="N34" s="44" t="s">
        <v>79</v>
      </c>
      <c r="O34" s="44" t="s">
        <v>79</v>
      </c>
      <c r="P34" s="44" t="s">
        <v>79</v>
      </c>
      <c r="Q34" s="44" t="s">
        <v>79</v>
      </c>
      <c r="R34" s="73" t="str">
        <f>+'HS - Positions and Funding'!E22</f>
        <v>B</v>
      </c>
      <c r="S34" s="74" t="str">
        <f>+'HS - Positions and Funding'!E23</f>
        <v>F</v>
      </c>
      <c r="T34" s="71" t="str">
        <f t="shared" si="2"/>
        <v>F</v>
      </c>
      <c r="U34" s="44" t="s">
        <v>79</v>
      </c>
      <c r="V34" s="44" t="s">
        <v>79</v>
      </c>
      <c r="W34" s="44" t="s">
        <v>79</v>
      </c>
      <c r="X34" s="44" t="s">
        <v>79</v>
      </c>
      <c r="Y34" s="44" t="s">
        <v>79</v>
      </c>
      <c r="Z34" s="44" t="s">
        <v>79</v>
      </c>
      <c r="AA34" s="44" t="s">
        <v>79</v>
      </c>
      <c r="AB34" s="44" t="s">
        <v>79</v>
      </c>
      <c r="AC34" s="44" t="s">
        <v>79</v>
      </c>
      <c r="AD34" s="44" t="s">
        <v>79</v>
      </c>
    </row>
    <row r="35" spans="1:30" x14ac:dyDescent="0.3">
      <c r="A35" s="49" t="str">
        <f>+'HS - Positions and Funding'!A26</f>
        <v>Cross Country - Boys</v>
      </c>
      <c r="B35" s="50">
        <f>+'HS - Positions and Funding'!B26</f>
        <v>3675</v>
      </c>
      <c r="C35" s="54">
        <f>+'HS - Positions and Funding'!D26</f>
        <v>1</v>
      </c>
      <c r="D35" s="54">
        <f>+'HS - Positions and Funding'!D27</f>
        <v>2</v>
      </c>
      <c r="E35" s="49" t="str">
        <f>+'HS - Positions and Funding'!C26</f>
        <v>Head Coach</v>
      </c>
      <c r="F35" s="75" t="str">
        <f>+'HS - Positions and Funding'!C27</f>
        <v>Assistant Coach</v>
      </c>
      <c r="G35" s="71" t="str">
        <f t="shared" si="1"/>
        <v>Assistant Coach</v>
      </c>
      <c r="H35" s="44" t="s">
        <v>79</v>
      </c>
      <c r="I35" s="44" t="s">
        <v>79</v>
      </c>
      <c r="J35" s="44" t="s">
        <v>79</v>
      </c>
      <c r="K35" s="44" t="s">
        <v>79</v>
      </c>
      <c r="L35" s="44" t="s">
        <v>79</v>
      </c>
      <c r="M35" s="44" t="s">
        <v>79</v>
      </c>
      <c r="N35" s="44" t="s">
        <v>79</v>
      </c>
      <c r="O35" s="44" t="s">
        <v>79</v>
      </c>
      <c r="P35" s="44" t="s">
        <v>79</v>
      </c>
      <c r="Q35" s="44" t="s">
        <v>79</v>
      </c>
      <c r="R35" s="73" t="str">
        <f>+'HS - Positions and Funding'!E26</f>
        <v>H</v>
      </c>
      <c r="S35" s="74" t="str">
        <f>+'HS - Positions and Funding'!E27</f>
        <v>J</v>
      </c>
      <c r="T35" s="71" t="str">
        <f t="shared" si="2"/>
        <v>J</v>
      </c>
      <c r="U35" s="44" t="s">
        <v>79</v>
      </c>
      <c r="V35" s="44" t="s">
        <v>79</v>
      </c>
      <c r="W35" s="44" t="s">
        <v>79</v>
      </c>
      <c r="X35" s="44" t="s">
        <v>79</v>
      </c>
      <c r="Y35" s="44" t="s">
        <v>79</v>
      </c>
      <c r="Z35" s="44" t="s">
        <v>79</v>
      </c>
      <c r="AA35" s="44" t="s">
        <v>79</v>
      </c>
      <c r="AB35" s="44" t="s">
        <v>79</v>
      </c>
      <c r="AC35" s="44" t="s">
        <v>79</v>
      </c>
      <c r="AD35" s="44" t="s">
        <v>79</v>
      </c>
    </row>
    <row r="36" spans="1:30" x14ac:dyDescent="0.3">
      <c r="A36" s="49" t="str">
        <f>+'HS - Positions and Funding'!A28</f>
        <v>Cross Country - Girls</v>
      </c>
      <c r="B36" s="50">
        <f>+'HS - Positions and Funding'!B28</f>
        <v>3675</v>
      </c>
      <c r="C36" s="54">
        <f>+'HS - Positions and Funding'!D28</f>
        <v>1</v>
      </c>
      <c r="D36" s="54">
        <f>+'HS - Positions and Funding'!D29</f>
        <v>2</v>
      </c>
      <c r="E36" s="49" t="str">
        <f>+'HS - Positions and Funding'!C28</f>
        <v>Head Coach</v>
      </c>
      <c r="F36" s="75" t="str">
        <f>+'HS - Positions and Funding'!C29</f>
        <v>Assistant Coach</v>
      </c>
      <c r="G36" s="71" t="str">
        <f t="shared" ref="G36:Q43" si="8">F36</f>
        <v>Assistant Coach</v>
      </c>
      <c r="H36" s="44" t="s">
        <v>79</v>
      </c>
      <c r="I36" s="44" t="s">
        <v>79</v>
      </c>
      <c r="J36" s="44" t="s">
        <v>79</v>
      </c>
      <c r="K36" s="44" t="s">
        <v>79</v>
      </c>
      <c r="L36" s="44" t="s">
        <v>79</v>
      </c>
      <c r="M36" s="44" t="s">
        <v>79</v>
      </c>
      <c r="N36" s="44" t="s">
        <v>79</v>
      </c>
      <c r="O36" s="44" t="s">
        <v>79</v>
      </c>
      <c r="P36" s="44" t="s">
        <v>79</v>
      </c>
      <c r="Q36" s="44" t="s">
        <v>79</v>
      </c>
      <c r="R36" s="73" t="str">
        <f>+'HS - Positions and Funding'!E28</f>
        <v>H</v>
      </c>
      <c r="S36" s="74" t="str">
        <f>+'HS - Positions and Funding'!E29</f>
        <v>J</v>
      </c>
      <c r="T36" s="71" t="str">
        <f t="shared" ref="T36" si="9">S36</f>
        <v>J</v>
      </c>
      <c r="U36" s="44" t="s">
        <v>79</v>
      </c>
      <c r="V36" s="44" t="s">
        <v>79</v>
      </c>
      <c r="W36" s="44" t="s">
        <v>79</v>
      </c>
      <c r="X36" s="44" t="s">
        <v>79</v>
      </c>
      <c r="Y36" s="44" t="s">
        <v>79</v>
      </c>
      <c r="Z36" s="44" t="s">
        <v>79</v>
      </c>
      <c r="AA36" s="44" t="s">
        <v>79</v>
      </c>
      <c r="AB36" s="44" t="s">
        <v>79</v>
      </c>
      <c r="AC36" s="44" t="s">
        <v>79</v>
      </c>
      <c r="AD36" s="44" t="s">
        <v>79</v>
      </c>
    </row>
    <row r="37" spans="1:30" x14ac:dyDescent="0.3">
      <c r="A37" s="49" t="str">
        <f>+'HS - Positions and Funding'!A30</f>
        <v>Dance Company</v>
      </c>
      <c r="B37" s="50">
        <f>+'HS - Positions and Funding'!B30</f>
        <v>2492</v>
      </c>
      <c r="C37" s="54">
        <f>+'HS - Positions and Funding'!D30</f>
        <v>1</v>
      </c>
      <c r="D37" s="54">
        <f>+'HS - Positions and Funding'!D31</f>
        <v>2</v>
      </c>
      <c r="E37" s="49" t="str">
        <f>+'HS - Positions and Funding'!C30</f>
        <v>Head Advisor</v>
      </c>
      <c r="F37" s="75" t="str">
        <f>+'HS - Positions and Funding'!C31</f>
        <v>Assistant Advisor</v>
      </c>
      <c r="G37" s="71" t="str">
        <f t="shared" si="8"/>
        <v>Assistant Advisor</v>
      </c>
      <c r="H37" s="44" t="s">
        <v>79</v>
      </c>
      <c r="I37" s="44" t="s">
        <v>79</v>
      </c>
      <c r="J37" s="44" t="s">
        <v>79</v>
      </c>
      <c r="K37" s="44" t="s">
        <v>79</v>
      </c>
      <c r="L37" s="44" t="s">
        <v>79</v>
      </c>
      <c r="M37" s="44" t="s">
        <v>79</v>
      </c>
      <c r="N37" s="44" t="s">
        <v>79</v>
      </c>
      <c r="O37" s="44" t="s">
        <v>79</v>
      </c>
      <c r="P37" s="44" t="s">
        <v>79</v>
      </c>
      <c r="Q37" s="44" t="s">
        <v>79</v>
      </c>
      <c r="R37" s="73" t="str">
        <f>+'HS - Positions and Funding'!E30</f>
        <v>H</v>
      </c>
      <c r="S37" s="74" t="str">
        <f>+'HS - Positions and Funding'!E31</f>
        <v>J</v>
      </c>
      <c r="T37" s="71" t="str">
        <f t="shared" ref="T37" si="10">S37</f>
        <v>J</v>
      </c>
      <c r="U37" s="44" t="s">
        <v>79</v>
      </c>
      <c r="V37" s="44" t="s">
        <v>79</v>
      </c>
      <c r="W37" s="44" t="s">
        <v>79</v>
      </c>
      <c r="X37" s="44" t="s">
        <v>79</v>
      </c>
      <c r="Y37" s="44" t="s">
        <v>79</v>
      </c>
      <c r="Z37" s="44" t="s">
        <v>79</v>
      </c>
      <c r="AA37" s="44" t="s">
        <v>79</v>
      </c>
      <c r="AB37" s="44" t="s">
        <v>79</v>
      </c>
      <c r="AC37" s="44" t="s">
        <v>79</v>
      </c>
      <c r="AD37" s="44" t="s">
        <v>79</v>
      </c>
    </row>
    <row r="38" spans="1:30" x14ac:dyDescent="0.3">
      <c r="A38" s="49" t="str">
        <f>+'HS - Positions and Funding'!A32</f>
        <v>Debate</v>
      </c>
      <c r="B38" s="50">
        <f>+'HS - Positions and Funding'!B32</f>
        <v>5045</v>
      </c>
      <c r="C38" s="54">
        <f>+'HS - Positions and Funding'!D32</f>
        <v>1</v>
      </c>
      <c r="D38" s="54">
        <f>+'HS - Positions and Funding'!D33</f>
        <v>1</v>
      </c>
      <c r="E38" s="49" t="str">
        <f>+'HS - Positions and Funding'!C32</f>
        <v>Head Advisor</v>
      </c>
      <c r="F38" s="75" t="str">
        <f>+'HS - Positions and Funding'!C33</f>
        <v>Assistant Advisor</v>
      </c>
      <c r="G38" s="44" t="s">
        <v>79</v>
      </c>
      <c r="H38" s="44" t="s">
        <v>79</v>
      </c>
      <c r="I38" s="44" t="s">
        <v>79</v>
      </c>
      <c r="J38" s="44" t="s">
        <v>79</v>
      </c>
      <c r="K38" s="44" t="s">
        <v>79</v>
      </c>
      <c r="L38" s="44" t="s">
        <v>79</v>
      </c>
      <c r="M38" s="44" t="s">
        <v>79</v>
      </c>
      <c r="N38" s="44" t="s">
        <v>79</v>
      </c>
      <c r="O38" s="44" t="s">
        <v>79</v>
      </c>
      <c r="P38" s="44" t="s">
        <v>79</v>
      </c>
      <c r="Q38" s="44" t="s">
        <v>79</v>
      </c>
      <c r="R38" s="73" t="str">
        <f>+'HS - Positions and Funding'!E32</f>
        <v>B</v>
      </c>
      <c r="S38" s="74" t="str">
        <f>+'HS - Positions and Funding'!E33</f>
        <v>F</v>
      </c>
      <c r="T38" s="44" t="s">
        <v>79</v>
      </c>
      <c r="U38" s="44" t="s">
        <v>79</v>
      </c>
      <c r="V38" s="44" t="s">
        <v>79</v>
      </c>
      <c r="W38" s="44" t="s">
        <v>79</v>
      </c>
      <c r="X38" s="44" t="s">
        <v>79</v>
      </c>
      <c r="Y38" s="44" t="s">
        <v>79</v>
      </c>
      <c r="Z38" s="44" t="s">
        <v>79</v>
      </c>
      <c r="AA38" s="44" t="s">
        <v>79</v>
      </c>
      <c r="AB38" s="44" t="s">
        <v>79</v>
      </c>
      <c r="AC38" s="44" t="s">
        <v>79</v>
      </c>
      <c r="AD38" s="44" t="s">
        <v>79</v>
      </c>
    </row>
    <row r="39" spans="1:30" x14ac:dyDescent="0.3">
      <c r="A39" s="49" t="str">
        <f>+'HS - Positions and Funding'!A34</f>
        <v>Drama</v>
      </c>
      <c r="B39" s="50">
        <f>+'HS - Positions and Funding'!B34</f>
        <v>8097</v>
      </c>
      <c r="C39" s="54">
        <f>+'HS - Positions and Funding'!D34</f>
        <v>1</v>
      </c>
      <c r="D39" s="54">
        <f>+'HS - Positions and Funding'!D35</f>
        <v>2</v>
      </c>
      <c r="E39" s="49" t="str">
        <f>+'HS - Positions and Funding'!C34</f>
        <v>Head Advisor</v>
      </c>
      <c r="F39" s="75" t="str">
        <f>+'HS - Positions and Funding'!C35</f>
        <v>Assistant Advisor</v>
      </c>
      <c r="G39" s="71" t="str">
        <f t="shared" si="8"/>
        <v>Assistant Advisor</v>
      </c>
      <c r="H39" s="44" t="s">
        <v>79</v>
      </c>
      <c r="I39" s="44" t="s">
        <v>79</v>
      </c>
      <c r="J39" s="44" t="s">
        <v>79</v>
      </c>
      <c r="K39" s="44" t="s">
        <v>79</v>
      </c>
      <c r="L39" s="44" t="s">
        <v>79</v>
      </c>
      <c r="M39" s="44" t="s">
        <v>79</v>
      </c>
      <c r="N39" s="44" t="s">
        <v>79</v>
      </c>
      <c r="O39" s="44" t="s">
        <v>79</v>
      </c>
      <c r="P39" s="44" t="s">
        <v>79</v>
      </c>
      <c r="Q39" s="44" t="s">
        <v>79</v>
      </c>
      <c r="R39" s="73" t="str">
        <f>+'HS - Positions and Funding'!E34</f>
        <v>B</v>
      </c>
      <c r="S39" s="74" t="str">
        <f>+'HS - Positions and Funding'!E35</f>
        <v>F</v>
      </c>
      <c r="T39" s="71" t="str">
        <f t="shared" ref="T39" si="11">S39</f>
        <v>F</v>
      </c>
      <c r="U39" s="44" t="s">
        <v>79</v>
      </c>
      <c r="V39" s="44" t="s">
        <v>79</v>
      </c>
      <c r="W39" s="44" t="s">
        <v>79</v>
      </c>
      <c r="X39" s="44" t="s">
        <v>79</v>
      </c>
      <c r="Y39" s="44" t="s">
        <v>79</v>
      </c>
      <c r="Z39" s="44" t="s">
        <v>79</v>
      </c>
      <c r="AA39" s="44" t="s">
        <v>79</v>
      </c>
      <c r="AB39" s="44" t="s">
        <v>79</v>
      </c>
      <c r="AC39" s="44" t="s">
        <v>79</v>
      </c>
      <c r="AD39" s="44" t="s">
        <v>79</v>
      </c>
    </row>
    <row r="40" spans="1:30" x14ac:dyDescent="0.3">
      <c r="A40" s="49" t="str">
        <f>+'HS - Positions and Funding'!A36</f>
        <v>Drill Team</v>
      </c>
      <c r="B40" s="50">
        <f>+'HS - Positions and Funding'!B36</f>
        <v>8097</v>
      </c>
      <c r="C40" s="54">
        <f>+'HS - Positions and Funding'!D36</f>
        <v>1</v>
      </c>
      <c r="D40" s="54">
        <f>+'HS - Positions and Funding'!D37</f>
        <v>4</v>
      </c>
      <c r="E40" s="49" t="str">
        <f>+'HS - Positions and Funding'!C36</f>
        <v>Head Advisor</v>
      </c>
      <c r="F40" s="75" t="str">
        <f>+'HS - Positions and Funding'!C37</f>
        <v>Assistant Advisor</v>
      </c>
      <c r="G40" s="71" t="str">
        <f t="shared" si="8"/>
        <v>Assistant Advisor</v>
      </c>
      <c r="H40" s="44" t="s">
        <v>79</v>
      </c>
      <c r="I40" s="44" t="s">
        <v>79</v>
      </c>
      <c r="J40" s="44" t="s">
        <v>79</v>
      </c>
      <c r="K40" s="44" t="s">
        <v>79</v>
      </c>
      <c r="L40" s="44" t="s">
        <v>79</v>
      </c>
      <c r="M40" s="44" t="s">
        <v>79</v>
      </c>
      <c r="N40" s="44" t="s">
        <v>79</v>
      </c>
      <c r="O40" s="44" t="s">
        <v>79</v>
      </c>
      <c r="P40" s="44" t="s">
        <v>79</v>
      </c>
      <c r="Q40" s="44" t="s">
        <v>79</v>
      </c>
      <c r="R40" s="73" t="str">
        <f>+'HS - Positions and Funding'!E36</f>
        <v>B</v>
      </c>
      <c r="S40" s="74" t="str">
        <f>+'HS - Positions and Funding'!E37</f>
        <v>F</v>
      </c>
      <c r="T40" s="71" t="str">
        <f t="shared" ref="T40" si="12">S40</f>
        <v>F</v>
      </c>
      <c r="U40" s="71" t="str">
        <f>T41</f>
        <v>E</v>
      </c>
      <c r="V40" s="44" t="s">
        <v>79</v>
      </c>
      <c r="W40" s="44" t="s">
        <v>79</v>
      </c>
      <c r="X40" s="44" t="s">
        <v>79</v>
      </c>
      <c r="Y40" s="44" t="s">
        <v>79</v>
      </c>
      <c r="Z40" s="44" t="s">
        <v>79</v>
      </c>
      <c r="AA40" s="44" t="s">
        <v>79</v>
      </c>
      <c r="AB40" s="44" t="s">
        <v>79</v>
      </c>
      <c r="AC40" s="44" t="s">
        <v>79</v>
      </c>
      <c r="AD40" s="44" t="s">
        <v>79</v>
      </c>
    </row>
    <row r="41" spans="1:30" ht="14.4" customHeight="1" x14ac:dyDescent="0.3">
      <c r="A41" s="49" t="str">
        <f>+'HS - Positions and Funding'!A40</f>
        <v>Football</v>
      </c>
      <c r="B41" s="50">
        <f>+'HS - Positions and Funding'!B40</f>
        <v>31082</v>
      </c>
      <c r="C41" s="54">
        <f>+'HS - Positions and Funding'!D40</f>
        <v>1</v>
      </c>
      <c r="D41" s="54">
        <f>+'HS - Positions and Funding'!D41</f>
        <v>15</v>
      </c>
      <c r="E41" s="49" t="str">
        <f>+'HS - Positions and Funding'!C40</f>
        <v>Head Coach</v>
      </c>
      <c r="F41" s="75" t="str">
        <f>+'HS - Positions and Funding'!C41</f>
        <v>Assistant Coach</v>
      </c>
      <c r="G41" s="71" t="str">
        <f t="shared" si="8"/>
        <v>Assistant Coach</v>
      </c>
      <c r="H41" s="71" t="str">
        <f t="shared" si="8"/>
        <v>Assistant Coach</v>
      </c>
      <c r="I41" s="71" t="str">
        <f t="shared" si="8"/>
        <v>Assistant Coach</v>
      </c>
      <c r="J41" s="71" t="str">
        <f t="shared" si="8"/>
        <v>Assistant Coach</v>
      </c>
      <c r="K41" s="71" t="str">
        <f t="shared" si="8"/>
        <v>Assistant Coach</v>
      </c>
      <c r="L41" s="71" t="str">
        <f t="shared" si="8"/>
        <v>Assistant Coach</v>
      </c>
      <c r="M41" s="71" t="str">
        <f t="shared" si="8"/>
        <v>Assistant Coach</v>
      </c>
      <c r="N41" s="71" t="str">
        <f t="shared" si="8"/>
        <v>Assistant Coach</v>
      </c>
      <c r="O41" s="71" t="str">
        <f t="shared" si="8"/>
        <v>Assistant Coach</v>
      </c>
      <c r="P41" s="71" t="str">
        <f t="shared" si="8"/>
        <v>Assistant Coach</v>
      </c>
      <c r="Q41" s="71" t="str">
        <f t="shared" si="8"/>
        <v>Assistant Coach</v>
      </c>
      <c r="R41" s="73" t="str">
        <f>+'HS - Positions and Funding'!E40</f>
        <v>A</v>
      </c>
      <c r="S41" s="74" t="str">
        <f>+'HS - Positions and Funding'!E41</f>
        <v>E</v>
      </c>
      <c r="T41" s="71" t="str">
        <f t="shared" ref="T41:AD41" si="13">S41</f>
        <v>E</v>
      </c>
      <c r="U41" s="44" t="s">
        <v>79</v>
      </c>
      <c r="V41" s="71" t="str">
        <f>U40</f>
        <v>E</v>
      </c>
      <c r="W41" s="71" t="str">
        <f t="shared" si="13"/>
        <v>E</v>
      </c>
      <c r="X41" s="71" t="str">
        <f t="shared" si="13"/>
        <v>E</v>
      </c>
      <c r="Y41" s="71" t="str">
        <f t="shared" si="13"/>
        <v>E</v>
      </c>
      <c r="Z41" s="71" t="str">
        <f t="shared" si="13"/>
        <v>E</v>
      </c>
      <c r="AA41" s="71" t="str">
        <f t="shared" si="13"/>
        <v>E</v>
      </c>
      <c r="AB41" s="71" t="str">
        <f t="shared" si="13"/>
        <v>E</v>
      </c>
      <c r="AC41" s="71" t="str">
        <f t="shared" si="13"/>
        <v>E</v>
      </c>
      <c r="AD41" s="71" t="str">
        <f t="shared" si="13"/>
        <v>E</v>
      </c>
    </row>
    <row r="42" spans="1:30" x14ac:dyDescent="0.3">
      <c r="A42" s="49" t="str">
        <f>+'HS - Positions and Funding'!A42</f>
        <v>Golf - Boys</v>
      </c>
      <c r="B42" s="50">
        <f>+'HS - Positions and Funding'!B42</f>
        <v>3675</v>
      </c>
      <c r="C42" s="54">
        <f>+'HS - Positions and Funding'!D42</f>
        <v>1</v>
      </c>
      <c r="D42" s="54">
        <f>+'HS - Positions and Funding'!D43</f>
        <v>2</v>
      </c>
      <c r="E42" s="49" t="str">
        <f>+'HS - Positions and Funding'!C42</f>
        <v>Head Coach</v>
      </c>
      <c r="F42" s="75" t="str">
        <f>+'HS - Positions and Funding'!C43</f>
        <v>Assistant Coach</v>
      </c>
      <c r="G42" s="71" t="str">
        <f t="shared" si="8"/>
        <v>Assistant Coach</v>
      </c>
      <c r="H42" s="44" t="s">
        <v>79</v>
      </c>
      <c r="I42" s="44" t="s">
        <v>79</v>
      </c>
      <c r="J42" s="44" t="s">
        <v>79</v>
      </c>
      <c r="K42" s="44" t="s">
        <v>79</v>
      </c>
      <c r="L42" s="44" t="s">
        <v>79</v>
      </c>
      <c r="M42" s="44" t="s">
        <v>79</v>
      </c>
      <c r="N42" s="44" t="s">
        <v>79</v>
      </c>
      <c r="O42" s="44" t="s">
        <v>79</v>
      </c>
      <c r="P42" s="44" t="s">
        <v>79</v>
      </c>
      <c r="Q42" s="44" t="s">
        <v>79</v>
      </c>
      <c r="R42" s="73" t="str">
        <f>+'HS - Positions and Funding'!E42</f>
        <v>H</v>
      </c>
      <c r="S42" s="74" t="str">
        <f>+'HS - Positions and Funding'!E43</f>
        <v>J</v>
      </c>
      <c r="T42" s="71" t="str">
        <f t="shared" ref="T42" si="14">S42</f>
        <v>J</v>
      </c>
      <c r="U42" s="44" t="s">
        <v>79</v>
      </c>
      <c r="V42" s="44" t="s">
        <v>79</v>
      </c>
      <c r="W42" s="44" t="s">
        <v>79</v>
      </c>
      <c r="X42" s="44" t="s">
        <v>79</v>
      </c>
      <c r="Y42" s="44" t="s">
        <v>79</v>
      </c>
      <c r="Z42" s="44" t="s">
        <v>79</v>
      </c>
      <c r="AA42" s="44" t="s">
        <v>79</v>
      </c>
      <c r="AB42" s="44" t="s">
        <v>79</v>
      </c>
      <c r="AC42" s="44" t="s">
        <v>79</v>
      </c>
      <c r="AD42" s="44" t="s">
        <v>79</v>
      </c>
    </row>
    <row r="43" spans="1:30" x14ac:dyDescent="0.3">
      <c r="A43" s="49" t="str">
        <f>+'HS - Positions and Funding'!A44</f>
        <v>Golf - Girls</v>
      </c>
      <c r="B43" s="50">
        <f>+'HS - Positions and Funding'!B44</f>
        <v>3675</v>
      </c>
      <c r="C43" s="54">
        <f>+'HS - Positions and Funding'!D44</f>
        <v>1</v>
      </c>
      <c r="D43" s="54">
        <f>+'HS - Positions and Funding'!D45</f>
        <v>2</v>
      </c>
      <c r="E43" s="49" t="str">
        <f>+'HS - Positions and Funding'!C44</f>
        <v>Head Coach</v>
      </c>
      <c r="F43" s="75" t="str">
        <f>+'HS - Positions and Funding'!C45</f>
        <v>Assistant Coach</v>
      </c>
      <c r="G43" s="71" t="str">
        <f t="shared" si="8"/>
        <v>Assistant Coach</v>
      </c>
      <c r="H43" s="44" t="s">
        <v>79</v>
      </c>
      <c r="I43" s="44" t="s">
        <v>79</v>
      </c>
      <c r="J43" s="44" t="s">
        <v>79</v>
      </c>
      <c r="K43" s="44" t="s">
        <v>79</v>
      </c>
      <c r="L43" s="44" t="s">
        <v>79</v>
      </c>
      <c r="M43" s="44" t="s">
        <v>79</v>
      </c>
      <c r="N43" s="44" t="s">
        <v>79</v>
      </c>
      <c r="O43" s="44" t="s">
        <v>79</v>
      </c>
      <c r="P43" s="44" t="s">
        <v>79</v>
      </c>
      <c r="Q43" s="44" t="s">
        <v>79</v>
      </c>
      <c r="R43" s="73" t="str">
        <f>+'HS - Positions and Funding'!E44</f>
        <v>H</v>
      </c>
      <c r="S43" s="74" t="str">
        <f>+'HS - Positions and Funding'!E45</f>
        <v>J</v>
      </c>
      <c r="T43" s="71" t="str">
        <f t="shared" ref="T43:T44" si="15">S43</f>
        <v>J</v>
      </c>
      <c r="U43" s="44" t="s">
        <v>79</v>
      </c>
      <c r="V43" s="44" t="s">
        <v>79</v>
      </c>
      <c r="W43" s="44" t="s">
        <v>79</v>
      </c>
      <c r="X43" s="44" t="s">
        <v>79</v>
      </c>
      <c r="Y43" s="44" t="s">
        <v>79</v>
      </c>
      <c r="Z43" s="44" t="s">
        <v>79</v>
      </c>
      <c r="AA43" s="44" t="s">
        <v>79</v>
      </c>
      <c r="AB43" s="44" t="s">
        <v>79</v>
      </c>
      <c r="AC43" s="44" t="s">
        <v>79</v>
      </c>
      <c r="AD43" s="44" t="s">
        <v>79</v>
      </c>
    </row>
    <row r="44" spans="1:30" x14ac:dyDescent="0.3">
      <c r="A44" s="49" t="str">
        <f>+'HS - Positions and Funding'!A52</f>
        <v>Orchestra</v>
      </c>
      <c r="B44" s="50">
        <f>+'HS - Positions and Funding'!B52</f>
        <v>8097</v>
      </c>
      <c r="C44" s="54">
        <f>+'HS - Positions and Funding'!D52</f>
        <v>1</v>
      </c>
      <c r="D44" s="54">
        <f>+'HS - Positions and Funding'!D53</f>
        <v>2</v>
      </c>
      <c r="E44" s="49" t="str">
        <f>+'HS - Positions and Funding'!C52</f>
        <v>Head Advisor</v>
      </c>
      <c r="F44" s="75" t="str">
        <f>+'HS - Positions and Funding'!C53</f>
        <v>Assistant Advisor</v>
      </c>
      <c r="G44" s="71" t="str">
        <f t="shared" ref="G44" si="16">F44</f>
        <v>Assistant Advisor</v>
      </c>
      <c r="H44" s="44" t="s">
        <v>79</v>
      </c>
      <c r="I44" s="44" t="s">
        <v>79</v>
      </c>
      <c r="J44" s="44" t="s">
        <v>79</v>
      </c>
      <c r="K44" s="44" t="s">
        <v>79</v>
      </c>
      <c r="L44" s="44" t="s">
        <v>79</v>
      </c>
      <c r="M44" s="44" t="s">
        <v>79</v>
      </c>
      <c r="N44" s="44" t="s">
        <v>79</v>
      </c>
      <c r="O44" s="44" t="s">
        <v>79</v>
      </c>
      <c r="P44" s="44" t="s">
        <v>79</v>
      </c>
      <c r="Q44" s="44" t="s">
        <v>79</v>
      </c>
      <c r="R44" s="73" t="str">
        <f>+'HS - Positions and Funding'!E52</f>
        <v>B</v>
      </c>
      <c r="S44" s="74" t="str">
        <f>+'HS - Positions and Funding'!E53</f>
        <v>F</v>
      </c>
      <c r="T44" s="71" t="str">
        <f t="shared" si="15"/>
        <v>F</v>
      </c>
      <c r="U44" s="44" t="s">
        <v>79</v>
      </c>
      <c r="V44" s="44" t="s">
        <v>79</v>
      </c>
      <c r="W44" s="44" t="s">
        <v>79</v>
      </c>
      <c r="X44" s="44" t="s">
        <v>79</v>
      </c>
      <c r="Y44" s="44" t="s">
        <v>79</v>
      </c>
      <c r="Z44" s="44" t="s">
        <v>79</v>
      </c>
      <c r="AA44" s="44" t="s">
        <v>79</v>
      </c>
      <c r="AB44" s="44" t="s">
        <v>79</v>
      </c>
      <c r="AC44" s="44" t="s">
        <v>79</v>
      </c>
      <c r="AD44" s="44" t="s">
        <v>79</v>
      </c>
    </row>
    <row r="45" spans="1:30" x14ac:dyDescent="0.3">
      <c r="A45" s="49" t="str">
        <f>+'HS - Positions and Funding'!A54</f>
        <v>Pep Band</v>
      </c>
      <c r="B45" s="50">
        <f>+'HS - Positions and Funding'!B54</f>
        <v>2492</v>
      </c>
      <c r="C45" s="54">
        <f>+'HS - Positions and Funding'!D54</f>
        <v>1</v>
      </c>
      <c r="D45" s="54">
        <f>+'HS - Positions and Funding'!D55</f>
        <v>1</v>
      </c>
      <c r="E45" s="49" t="str">
        <f>+'HS - Positions and Funding'!C54</f>
        <v>Head Advisor</v>
      </c>
      <c r="F45" s="75" t="str">
        <f>+'HS - Positions and Funding'!C55</f>
        <v>Assistant Advisor</v>
      </c>
      <c r="G45" s="71" t="str">
        <f t="shared" ref="G45:K58" si="17">F45</f>
        <v>Assistant Advisor</v>
      </c>
      <c r="H45" s="44" t="s">
        <v>79</v>
      </c>
      <c r="I45" s="44" t="s">
        <v>79</v>
      </c>
      <c r="J45" s="44" t="s">
        <v>79</v>
      </c>
      <c r="K45" s="44" t="s">
        <v>79</v>
      </c>
      <c r="L45" s="44" t="s">
        <v>79</v>
      </c>
      <c r="M45" s="44" t="s">
        <v>79</v>
      </c>
      <c r="N45" s="44" t="s">
        <v>79</v>
      </c>
      <c r="O45" s="44" t="s">
        <v>79</v>
      </c>
      <c r="P45" s="44" t="s">
        <v>79</v>
      </c>
      <c r="Q45" s="44" t="s">
        <v>79</v>
      </c>
      <c r="R45" s="73" t="str">
        <f>+'HS - Positions and Funding'!E54</f>
        <v>H</v>
      </c>
      <c r="S45" s="74" t="str">
        <f>+'HS - Positions and Funding'!E55</f>
        <v>J</v>
      </c>
      <c r="T45" s="71" t="str">
        <f t="shared" ref="T45" si="18">S45</f>
        <v>J</v>
      </c>
      <c r="U45" s="71" t="str">
        <f>T46</f>
        <v>G</v>
      </c>
      <c r="V45" s="44" t="s">
        <v>79</v>
      </c>
      <c r="W45" s="44" t="s">
        <v>79</v>
      </c>
      <c r="X45" s="44" t="s">
        <v>79</v>
      </c>
      <c r="Y45" s="44" t="s">
        <v>79</v>
      </c>
      <c r="Z45" s="44" t="s">
        <v>79</v>
      </c>
      <c r="AA45" s="44" t="s">
        <v>79</v>
      </c>
      <c r="AB45" s="44" t="s">
        <v>79</v>
      </c>
      <c r="AC45" s="44" t="s">
        <v>79</v>
      </c>
      <c r="AD45" s="44" t="s">
        <v>79</v>
      </c>
    </row>
    <row r="46" spans="1:30" x14ac:dyDescent="0.3">
      <c r="A46" s="49" t="str">
        <f>+'HS - Positions and Funding'!A56</f>
        <v>Soccer - Boys</v>
      </c>
      <c r="B46" s="50">
        <f>+'HS - Positions and Funding'!B56</f>
        <v>11492</v>
      </c>
      <c r="C46" s="54">
        <f>+'HS - Positions and Funding'!D56</f>
        <v>1</v>
      </c>
      <c r="D46" s="54">
        <f>+'HS - Positions and Funding'!D57</f>
        <v>6</v>
      </c>
      <c r="E46" s="49" t="str">
        <f>+'HS - Positions and Funding'!C56</f>
        <v>Head Coach</v>
      </c>
      <c r="F46" s="75" t="str">
        <f>+'HS - Positions and Funding'!C57</f>
        <v>Assistant Coach</v>
      </c>
      <c r="G46" s="71" t="str">
        <f t="shared" si="17"/>
        <v>Assistant Coach</v>
      </c>
      <c r="H46" s="71" t="str">
        <f t="shared" si="17"/>
        <v>Assistant Coach</v>
      </c>
      <c r="I46" s="71" t="str">
        <f t="shared" si="17"/>
        <v>Assistant Coach</v>
      </c>
      <c r="J46" s="44" t="s">
        <v>79</v>
      </c>
      <c r="K46" s="44" t="s">
        <v>79</v>
      </c>
      <c r="L46" s="44" t="s">
        <v>79</v>
      </c>
      <c r="M46" s="44" t="s">
        <v>79</v>
      </c>
      <c r="N46" s="44" t="s">
        <v>79</v>
      </c>
      <c r="O46" s="44" t="s">
        <v>79</v>
      </c>
      <c r="P46" s="44" t="s">
        <v>79</v>
      </c>
      <c r="Q46" s="44" t="s">
        <v>79</v>
      </c>
      <c r="R46" s="73" t="str">
        <f>+'HS - Positions and Funding'!E56</f>
        <v>C</v>
      </c>
      <c r="S46" s="74" t="str">
        <f>+'HS - Positions and Funding'!E57</f>
        <v>G</v>
      </c>
      <c r="T46" s="71" t="str">
        <f t="shared" ref="T46" si="19">S46</f>
        <v>G</v>
      </c>
      <c r="U46" s="71" t="str">
        <f>T47</f>
        <v>G</v>
      </c>
      <c r="V46" s="71" t="str">
        <f>U45</f>
        <v>G</v>
      </c>
      <c r="W46" s="44" t="s">
        <v>79</v>
      </c>
      <c r="X46" s="44" t="s">
        <v>79</v>
      </c>
      <c r="Y46" s="44" t="s">
        <v>79</v>
      </c>
      <c r="Z46" s="44" t="s">
        <v>79</v>
      </c>
      <c r="AA46" s="44" t="s">
        <v>79</v>
      </c>
      <c r="AB46" s="44" t="s">
        <v>79</v>
      </c>
      <c r="AC46" s="44" t="s">
        <v>79</v>
      </c>
      <c r="AD46" s="44" t="s">
        <v>79</v>
      </c>
    </row>
    <row r="47" spans="1:30" x14ac:dyDescent="0.3">
      <c r="A47" s="49" t="str">
        <f>+'HS - Positions and Funding'!A58</f>
        <v>Soccer - Girls</v>
      </c>
      <c r="B47" s="50">
        <f>+'HS - Positions and Funding'!B58</f>
        <v>11492</v>
      </c>
      <c r="C47" s="54">
        <f>+'HS - Positions and Funding'!D58</f>
        <v>1</v>
      </c>
      <c r="D47" s="54">
        <f>+'HS - Positions and Funding'!D59</f>
        <v>6</v>
      </c>
      <c r="E47" s="49" t="str">
        <f>+'HS - Positions and Funding'!C58</f>
        <v>Head Coach</v>
      </c>
      <c r="F47" s="75" t="str">
        <f>+'HS - Positions and Funding'!C59</f>
        <v>Assistant Coach</v>
      </c>
      <c r="G47" s="71" t="str">
        <f t="shared" si="17"/>
        <v>Assistant Coach</v>
      </c>
      <c r="H47" s="71" t="str">
        <f t="shared" si="17"/>
        <v>Assistant Coach</v>
      </c>
      <c r="I47" s="71" t="str">
        <f t="shared" si="17"/>
        <v>Assistant Coach</v>
      </c>
      <c r="J47" s="44" t="s">
        <v>79</v>
      </c>
      <c r="K47" s="44" t="s">
        <v>79</v>
      </c>
      <c r="L47" s="44" t="s">
        <v>79</v>
      </c>
      <c r="M47" s="44" t="s">
        <v>79</v>
      </c>
      <c r="N47" s="44" t="s">
        <v>79</v>
      </c>
      <c r="O47" s="44" t="s">
        <v>79</v>
      </c>
      <c r="P47" s="44" t="s">
        <v>79</v>
      </c>
      <c r="Q47" s="44" t="s">
        <v>79</v>
      </c>
      <c r="R47" s="73" t="str">
        <f>+'HS - Positions and Funding'!E58</f>
        <v>C</v>
      </c>
      <c r="S47" s="74" t="str">
        <f>+'HS - Positions and Funding'!E59</f>
        <v>G</v>
      </c>
      <c r="T47" s="71" t="str">
        <f t="shared" ref="T47" si="20">S47</f>
        <v>G</v>
      </c>
      <c r="U47" s="71" t="str">
        <f>T48</f>
        <v>G</v>
      </c>
      <c r="V47" s="71" t="str">
        <f>U46</f>
        <v>G</v>
      </c>
      <c r="W47" s="44" t="s">
        <v>79</v>
      </c>
      <c r="X47" s="44" t="s">
        <v>79</v>
      </c>
      <c r="Y47" s="44" t="s">
        <v>79</v>
      </c>
      <c r="Z47" s="44" t="s">
        <v>79</v>
      </c>
      <c r="AA47" s="44" t="s">
        <v>79</v>
      </c>
      <c r="AB47" s="44" t="s">
        <v>79</v>
      </c>
      <c r="AC47" s="44" t="s">
        <v>79</v>
      </c>
      <c r="AD47" s="44" t="s">
        <v>79</v>
      </c>
    </row>
    <row r="48" spans="1:30" x14ac:dyDescent="0.3">
      <c r="A48" s="49" t="str">
        <f>+'HS - Positions and Funding'!A60</f>
        <v>Softball</v>
      </c>
      <c r="B48" s="50">
        <f>+'HS - Positions and Funding'!B60</f>
        <v>12894</v>
      </c>
      <c r="C48" s="54">
        <f>+'HS - Positions and Funding'!D60</f>
        <v>1</v>
      </c>
      <c r="D48" s="54">
        <f>+'HS - Positions and Funding'!D61</f>
        <v>6</v>
      </c>
      <c r="E48" s="49" t="str">
        <f>+'HS - Positions and Funding'!C60</f>
        <v>Head Coach</v>
      </c>
      <c r="F48" s="75" t="str">
        <f>+'HS - Positions and Funding'!C61</f>
        <v>Assistant Coach</v>
      </c>
      <c r="G48" s="71" t="str">
        <f t="shared" si="17"/>
        <v>Assistant Coach</v>
      </c>
      <c r="H48" s="71" t="str">
        <f t="shared" si="17"/>
        <v>Assistant Coach</v>
      </c>
      <c r="I48" s="71" t="str">
        <f t="shared" si="17"/>
        <v>Assistant Coach</v>
      </c>
      <c r="J48" s="71" t="str">
        <f t="shared" si="17"/>
        <v>Assistant Coach</v>
      </c>
      <c r="K48" s="71" t="str">
        <f t="shared" si="17"/>
        <v>Assistant Coach</v>
      </c>
      <c r="L48" s="44" t="s">
        <v>79</v>
      </c>
      <c r="M48" s="44" t="s">
        <v>79</v>
      </c>
      <c r="N48" s="44" t="s">
        <v>79</v>
      </c>
      <c r="O48" s="44" t="s">
        <v>79</v>
      </c>
      <c r="P48" s="44" t="s">
        <v>79</v>
      </c>
      <c r="Q48" s="44" t="s">
        <v>79</v>
      </c>
      <c r="R48" s="73" t="str">
        <f>+'HS - Positions and Funding'!E60</f>
        <v>C</v>
      </c>
      <c r="S48" s="74" t="str">
        <f>+'HS - Positions and Funding'!E61</f>
        <v>G</v>
      </c>
      <c r="T48" s="71" t="str">
        <f t="shared" ref="T48:X48" si="21">S48</f>
        <v>G</v>
      </c>
      <c r="U48" s="44" t="s">
        <v>79</v>
      </c>
      <c r="V48" s="71" t="str">
        <f>U47</f>
        <v>G</v>
      </c>
      <c r="W48" s="71" t="str">
        <f t="shared" si="21"/>
        <v>G</v>
      </c>
      <c r="X48" s="71" t="str">
        <f t="shared" si="21"/>
        <v>G</v>
      </c>
      <c r="Y48" s="44" t="s">
        <v>79</v>
      </c>
      <c r="Z48" s="44" t="s">
        <v>79</v>
      </c>
      <c r="AA48" s="44" t="s">
        <v>79</v>
      </c>
      <c r="AB48" s="44" t="s">
        <v>79</v>
      </c>
      <c r="AC48" s="44" t="s">
        <v>79</v>
      </c>
      <c r="AD48" s="44" t="s">
        <v>79</v>
      </c>
    </row>
    <row r="49" spans="1:30" x14ac:dyDescent="0.3">
      <c r="A49" s="49" t="str">
        <f>+'HS - Positions and Funding'!A62</f>
        <v>Student Council</v>
      </c>
      <c r="B49" s="50">
        <f>+'HS - Positions and Funding'!B62</f>
        <v>7288</v>
      </c>
      <c r="C49" s="54">
        <f>+'HS - Positions and Funding'!D62</f>
        <v>1</v>
      </c>
      <c r="D49" s="54">
        <f>+'HS - Positions and Funding'!D63</f>
        <v>1</v>
      </c>
      <c r="E49" s="49" t="str">
        <f>+'HS - Positions and Funding'!C62</f>
        <v>Head Advisor</v>
      </c>
      <c r="F49" s="75" t="str">
        <f>+'HS - Positions and Funding'!C63</f>
        <v>Assistant Advisor</v>
      </c>
      <c r="G49" s="44" t="s">
        <v>79</v>
      </c>
      <c r="H49" s="44" t="s">
        <v>79</v>
      </c>
      <c r="I49" s="44" t="s">
        <v>79</v>
      </c>
      <c r="J49" s="44" t="s">
        <v>79</v>
      </c>
      <c r="K49" s="44" t="s">
        <v>79</v>
      </c>
      <c r="L49" s="44" t="s">
        <v>79</v>
      </c>
      <c r="M49" s="44" t="s">
        <v>79</v>
      </c>
      <c r="N49" s="44" t="s">
        <v>79</v>
      </c>
      <c r="O49" s="44" t="s">
        <v>79</v>
      </c>
      <c r="P49" s="44" t="s">
        <v>79</v>
      </c>
      <c r="Q49" s="44" t="s">
        <v>79</v>
      </c>
      <c r="R49" s="73" t="str">
        <f>+'HS - Positions and Funding'!E62</f>
        <v>C</v>
      </c>
      <c r="S49" s="74" t="str">
        <f>+'HS - Positions and Funding'!E63</f>
        <v>G</v>
      </c>
      <c r="T49" s="44" t="s">
        <v>79</v>
      </c>
      <c r="U49" s="44" t="s">
        <v>79</v>
      </c>
      <c r="V49" s="44" t="s">
        <v>79</v>
      </c>
      <c r="W49" s="44" t="s">
        <v>79</v>
      </c>
      <c r="X49" s="44" t="s">
        <v>79</v>
      </c>
      <c r="Y49" s="44" t="s">
        <v>79</v>
      </c>
      <c r="Z49" s="44" t="s">
        <v>79</v>
      </c>
      <c r="AA49" s="44" t="s">
        <v>79</v>
      </c>
      <c r="AB49" s="44" t="s">
        <v>79</v>
      </c>
      <c r="AC49" s="44" t="s">
        <v>79</v>
      </c>
      <c r="AD49" s="44" t="s">
        <v>79</v>
      </c>
    </row>
    <row r="50" spans="1:30" x14ac:dyDescent="0.3">
      <c r="A50" s="49" t="str">
        <f>+'HS - Positions and Funding'!A64</f>
        <v>Swimming - Boys</v>
      </c>
      <c r="B50" s="50">
        <f>+'HS - Positions and Funding'!B64</f>
        <v>7288</v>
      </c>
      <c r="C50" s="54">
        <f>+'HS - Positions and Funding'!D64</f>
        <v>1</v>
      </c>
      <c r="D50" s="54">
        <f>+'HS - Positions and Funding'!D65</f>
        <v>2</v>
      </c>
      <c r="E50" s="49" t="str">
        <f>+'HS - Positions and Funding'!C64</f>
        <v>Head Coach</v>
      </c>
      <c r="F50" s="75" t="str">
        <f>+'HS - Positions and Funding'!C65</f>
        <v>Assistant Coach</v>
      </c>
      <c r="G50" s="71" t="str">
        <f t="shared" si="17"/>
        <v>Assistant Coach</v>
      </c>
      <c r="H50" s="44" t="s">
        <v>79</v>
      </c>
      <c r="I50" s="44" t="s">
        <v>79</v>
      </c>
      <c r="J50" s="44" t="s">
        <v>79</v>
      </c>
      <c r="K50" s="44" t="s">
        <v>79</v>
      </c>
      <c r="L50" s="44" t="s">
        <v>79</v>
      </c>
      <c r="M50" s="44" t="s">
        <v>79</v>
      </c>
      <c r="N50" s="44" t="s">
        <v>79</v>
      </c>
      <c r="O50" s="44" t="s">
        <v>79</v>
      </c>
      <c r="P50" s="44" t="s">
        <v>79</v>
      </c>
      <c r="Q50" s="44" t="s">
        <v>79</v>
      </c>
      <c r="R50" s="73" t="str">
        <f>+'HS - Positions and Funding'!E64</f>
        <v>C</v>
      </c>
      <c r="S50" s="74" t="str">
        <f>+'HS - Positions and Funding'!E65</f>
        <v>G</v>
      </c>
      <c r="T50" s="71" t="str">
        <f t="shared" ref="T50" si="22">S50</f>
        <v>G</v>
      </c>
      <c r="U50" s="44" t="s">
        <v>79</v>
      </c>
      <c r="V50" s="44" t="s">
        <v>79</v>
      </c>
      <c r="W50" s="44" t="s">
        <v>79</v>
      </c>
      <c r="X50" s="44" t="s">
        <v>79</v>
      </c>
      <c r="Y50" s="44" t="s">
        <v>79</v>
      </c>
      <c r="Z50" s="44" t="s">
        <v>79</v>
      </c>
      <c r="AA50" s="44" t="s">
        <v>79</v>
      </c>
      <c r="AB50" s="44" t="s">
        <v>79</v>
      </c>
      <c r="AC50" s="44" t="s">
        <v>79</v>
      </c>
      <c r="AD50" s="44" t="s">
        <v>79</v>
      </c>
    </row>
    <row r="51" spans="1:30" x14ac:dyDescent="0.3">
      <c r="A51" s="49" t="str">
        <f>+'HS - Positions and Funding'!A66</f>
        <v>Swimming - Girls</v>
      </c>
      <c r="B51" s="50">
        <f>+'HS - Positions and Funding'!B66</f>
        <v>7288</v>
      </c>
      <c r="C51" s="54">
        <f>+'HS - Positions and Funding'!D66</f>
        <v>1</v>
      </c>
      <c r="D51" s="54">
        <f>+'HS - Positions and Funding'!D67</f>
        <v>2</v>
      </c>
      <c r="E51" s="49" t="str">
        <f>+'HS - Positions and Funding'!C66</f>
        <v>Head Coach</v>
      </c>
      <c r="F51" s="75" t="str">
        <f>+'HS - Positions and Funding'!C67</f>
        <v>Assistant Coach</v>
      </c>
      <c r="G51" s="71" t="str">
        <f t="shared" si="17"/>
        <v>Assistant Coach</v>
      </c>
      <c r="H51" s="44" t="s">
        <v>79</v>
      </c>
      <c r="I51" s="44" t="s">
        <v>79</v>
      </c>
      <c r="J51" s="44" t="s">
        <v>79</v>
      </c>
      <c r="K51" s="44" t="s">
        <v>79</v>
      </c>
      <c r="L51" s="44" t="s">
        <v>79</v>
      </c>
      <c r="M51" s="44" t="s">
        <v>79</v>
      </c>
      <c r="N51" s="44" t="s">
        <v>79</v>
      </c>
      <c r="O51" s="44" t="s">
        <v>79</v>
      </c>
      <c r="P51" s="44" t="s">
        <v>79</v>
      </c>
      <c r="Q51" s="44" t="s">
        <v>79</v>
      </c>
      <c r="R51" s="73" t="str">
        <f>+'HS - Positions and Funding'!E66</f>
        <v>C</v>
      </c>
      <c r="S51" s="74" t="str">
        <f>+'HS - Positions and Funding'!E67</f>
        <v>G</v>
      </c>
      <c r="T51" s="71" t="str">
        <f t="shared" ref="T51" si="23">S51</f>
        <v>G</v>
      </c>
      <c r="U51" s="44" t="s">
        <v>79</v>
      </c>
      <c r="V51" s="44" t="s">
        <v>79</v>
      </c>
      <c r="W51" s="44" t="s">
        <v>79</v>
      </c>
      <c r="X51" s="44" t="s">
        <v>79</v>
      </c>
      <c r="Y51" s="44" t="s">
        <v>79</v>
      </c>
      <c r="Z51" s="44" t="s">
        <v>79</v>
      </c>
      <c r="AA51" s="44" t="s">
        <v>79</v>
      </c>
      <c r="AB51" s="44" t="s">
        <v>79</v>
      </c>
      <c r="AC51" s="44" t="s">
        <v>79</v>
      </c>
      <c r="AD51" s="44" t="s">
        <v>79</v>
      </c>
    </row>
    <row r="52" spans="1:30" x14ac:dyDescent="0.3">
      <c r="A52" s="49" t="str">
        <f>+'HS - Positions and Funding'!A68</f>
        <v>Tennis - Boys</v>
      </c>
      <c r="B52" s="50">
        <f>+'HS - Positions and Funding'!B68</f>
        <v>4734</v>
      </c>
      <c r="C52" s="54">
        <f>+'HS - Positions and Funding'!D68</f>
        <v>1</v>
      </c>
      <c r="D52" s="54">
        <f>+'HS - Positions and Funding'!D69</f>
        <v>2</v>
      </c>
      <c r="E52" s="49" t="str">
        <f>+'HS - Positions and Funding'!C68</f>
        <v>Head Coach</v>
      </c>
      <c r="F52" s="75" t="str">
        <f>+'HS - Positions and Funding'!C69</f>
        <v>Assistant Coach</v>
      </c>
      <c r="G52" s="71" t="str">
        <f t="shared" si="17"/>
        <v>Assistant Coach</v>
      </c>
      <c r="H52" s="44" t="s">
        <v>79</v>
      </c>
      <c r="I52" s="44" t="s">
        <v>79</v>
      </c>
      <c r="J52" s="44" t="s">
        <v>79</v>
      </c>
      <c r="K52" s="44" t="s">
        <v>79</v>
      </c>
      <c r="L52" s="44" t="s">
        <v>79</v>
      </c>
      <c r="M52" s="44" t="s">
        <v>79</v>
      </c>
      <c r="N52" s="44" t="s">
        <v>79</v>
      </c>
      <c r="O52" s="44" t="s">
        <v>79</v>
      </c>
      <c r="P52" s="44" t="s">
        <v>79</v>
      </c>
      <c r="Q52" s="44" t="s">
        <v>79</v>
      </c>
      <c r="R52" s="73" t="str">
        <f>+'HS - Positions and Funding'!E68</f>
        <v>F</v>
      </c>
      <c r="S52" s="74" t="str">
        <f>+'HS - Positions and Funding'!E69</f>
        <v>I</v>
      </c>
      <c r="T52" s="71" t="str">
        <f t="shared" ref="T52" si="24">S52</f>
        <v>I</v>
      </c>
      <c r="U52" s="44" t="s">
        <v>79</v>
      </c>
      <c r="V52" s="44" t="s">
        <v>79</v>
      </c>
      <c r="W52" s="44" t="s">
        <v>79</v>
      </c>
      <c r="X52" s="44" t="s">
        <v>79</v>
      </c>
      <c r="Y52" s="44" t="s">
        <v>79</v>
      </c>
      <c r="Z52" s="44" t="s">
        <v>79</v>
      </c>
      <c r="AA52" s="44" t="s">
        <v>79</v>
      </c>
      <c r="AB52" s="44" t="s">
        <v>79</v>
      </c>
      <c r="AC52" s="44" t="s">
        <v>79</v>
      </c>
      <c r="AD52" s="44" t="s">
        <v>79</v>
      </c>
    </row>
    <row r="53" spans="1:30" x14ac:dyDescent="0.3">
      <c r="A53" s="49" t="str">
        <f>+'HS - Positions and Funding'!A70</f>
        <v>Tennis - Girls</v>
      </c>
      <c r="B53" s="50">
        <f>+'HS - Positions and Funding'!B70</f>
        <v>4734</v>
      </c>
      <c r="C53" s="54">
        <f>+'HS - Positions and Funding'!D70</f>
        <v>1</v>
      </c>
      <c r="D53" s="54">
        <f>+'HS - Positions and Funding'!D71</f>
        <v>2</v>
      </c>
      <c r="E53" s="49" t="str">
        <f>+'HS - Positions and Funding'!C70</f>
        <v>Head Coach</v>
      </c>
      <c r="F53" s="75" t="str">
        <f>+'HS - Positions and Funding'!C71</f>
        <v>Assistant Coach</v>
      </c>
      <c r="G53" s="71" t="str">
        <f t="shared" si="17"/>
        <v>Assistant Coach</v>
      </c>
      <c r="H53" s="44" t="s">
        <v>79</v>
      </c>
      <c r="I53" s="44" t="s">
        <v>79</v>
      </c>
      <c r="J53" s="44" t="s">
        <v>79</v>
      </c>
      <c r="K53" s="44" t="s">
        <v>79</v>
      </c>
      <c r="L53" s="44" t="s">
        <v>79</v>
      </c>
      <c r="M53" s="44" t="s">
        <v>79</v>
      </c>
      <c r="N53" s="44" t="s">
        <v>79</v>
      </c>
      <c r="O53" s="44" t="s">
        <v>79</v>
      </c>
      <c r="P53" s="44" t="s">
        <v>79</v>
      </c>
      <c r="Q53" s="44" t="s">
        <v>79</v>
      </c>
      <c r="R53" s="73" t="str">
        <f>+'HS - Positions and Funding'!E70</f>
        <v>F</v>
      </c>
      <c r="S53" s="74" t="str">
        <f>+'HS - Positions and Funding'!E71</f>
        <v>I</v>
      </c>
      <c r="T53" s="71" t="str">
        <f t="shared" ref="T53" si="25">S53</f>
        <v>I</v>
      </c>
      <c r="U53" s="71" t="str">
        <f>T54</f>
        <v>G</v>
      </c>
      <c r="V53" s="44" t="s">
        <v>79</v>
      </c>
      <c r="W53" s="44" t="s">
        <v>79</v>
      </c>
      <c r="X53" s="44" t="s">
        <v>79</v>
      </c>
      <c r="Y53" s="44" t="s">
        <v>79</v>
      </c>
      <c r="Z53" s="44" t="s">
        <v>79</v>
      </c>
      <c r="AA53" s="44" t="s">
        <v>79</v>
      </c>
      <c r="AB53" s="44" t="s">
        <v>79</v>
      </c>
      <c r="AC53" s="44" t="s">
        <v>79</v>
      </c>
      <c r="AD53" s="44" t="s">
        <v>79</v>
      </c>
    </row>
    <row r="54" spans="1:30" x14ac:dyDescent="0.3">
      <c r="A54" s="49" t="str">
        <f>+'HS - Positions and Funding'!A72</f>
        <v>Track - Boys</v>
      </c>
      <c r="B54" s="50">
        <f>+'HS - Positions and Funding'!B72</f>
        <v>10091</v>
      </c>
      <c r="C54" s="54">
        <f>+'HS - Positions and Funding'!D72</f>
        <v>1</v>
      </c>
      <c r="D54" s="54">
        <f>+'HS - Positions and Funding'!D73</f>
        <v>4</v>
      </c>
      <c r="E54" s="49" t="str">
        <f>+'HS - Positions and Funding'!C72</f>
        <v>Head Coach</v>
      </c>
      <c r="F54" s="75" t="str">
        <f>+'HS - Positions and Funding'!C73</f>
        <v>Assistant Coach</v>
      </c>
      <c r="G54" s="71" t="str">
        <f t="shared" si="17"/>
        <v>Assistant Coach</v>
      </c>
      <c r="H54" s="71" t="str">
        <f t="shared" si="17"/>
        <v>Assistant Coach</v>
      </c>
      <c r="I54" s="71" t="str">
        <f t="shared" si="17"/>
        <v>Assistant Coach</v>
      </c>
      <c r="J54" s="44" t="s">
        <v>79</v>
      </c>
      <c r="K54" s="44" t="s">
        <v>79</v>
      </c>
      <c r="L54" s="44" t="s">
        <v>79</v>
      </c>
      <c r="M54" s="44" t="s">
        <v>79</v>
      </c>
      <c r="N54" s="44" t="s">
        <v>79</v>
      </c>
      <c r="O54" s="44" t="s">
        <v>79</v>
      </c>
      <c r="P54" s="44" t="s">
        <v>79</v>
      </c>
      <c r="Q54" s="44" t="s">
        <v>79</v>
      </c>
      <c r="R54" s="73" t="str">
        <f>+'HS - Positions and Funding'!E72</f>
        <v>C</v>
      </c>
      <c r="S54" s="74" t="str">
        <f>+'HS - Positions and Funding'!E73</f>
        <v>G</v>
      </c>
      <c r="T54" s="71" t="str">
        <f t="shared" ref="T54" si="26">S54</f>
        <v>G</v>
      </c>
      <c r="U54" s="71" t="str">
        <f>T55</f>
        <v>G</v>
      </c>
      <c r="V54" s="71" t="str">
        <f>U53</f>
        <v>G</v>
      </c>
      <c r="W54" s="44" t="s">
        <v>79</v>
      </c>
      <c r="X54" s="44" t="s">
        <v>79</v>
      </c>
      <c r="Y54" s="44" t="s">
        <v>79</v>
      </c>
      <c r="Z54" s="44" t="s">
        <v>79</v>
      </c>
      <c r="AA54" s="44" t="s">
        <v>79</v>
      </c>
      <c r="AB54" s="44" t="s">
        <v>79</v>
      </c>
      <c r="AC54" s="44" t="s">
        <v>79</v>
      </c>
      <c r="AD54" s="44" t="s">
        <v>79</v>
      </c>
    </row>
    <row r="55" spans="1:30" x14ac:dyDescent="0.3">
      <c r="A55" s="49" t="str">
        <f>+'HS - Positions and Funding'!A74</f>
        <v>Track - Girls</v>
      </c>
      <c r="B55" s="50">
        <f>+'HS - Positions and Funding'!B74</f>
        <v>10091</v>
      </c>
      <c r="C55" s="54">
        <f>+'HS - Positions and Funding'!D74</f>
        <v>1</v>
      </c>
      <c r="D55" s="54">
        <f>+'HS - Positions and Funding'!D75</f>
        <v>4</v>
      </c>
      <c r="E55" s="49" t="str">
        <f>+'HS - Positions and Funding'!C74</f>
        <v>Head Coach</v>
      </c>
      <c r="F55" s="75" t="str">
        <f>+'HS - Positions and Funding'!C75</f>
        <v>Assistant Coach</v>
      </c>
      <c r="G55" s="71" t="str">
        <f t="shared" si="17"/>
        <v>Assistant Coach</v>
      </c>
      <c r="H55" s="71" t="str">
        <f t="shared" si="17"/>
        <v>Assistant Coach</v>
      </c>
      <c r="I55" s="71" t="str">
        <f t="shared" si="17"/>
        <v>Assistant Coach</v>
      </c>
      <c r="J55" s="44" t="s">
        <v>79</v>
      </c>
      <c r="K55" s="44" t="s">
        <v>79</v>
      </c>
      <c r="L55" s="44" t="s">
        <v>79</v>
      </c>
      <c r="M55" s="44" t="s">
        <v>79</v>
      </c>
      <c r="N55" s="44" t="s">
        <v>79</v>
      </c>
      <c r="O55" s="44" t="s">
        <v>79</v>
      </c>
      <c r="P55" s="44" t="s">
        <v>79</v>
      </c>
      <c r="Q55" s="44" t="s">
        <v>79</v>
      </c>
      <c r="R55" s="73" t="str">
        <f>+'HS - Positions and Funding'!E74</f>
        <v>C</v>
      </c>
      <c r="S55" s="74" t="str">
        <f>+'HS - Positions and Funding'!E75</f>
        <v>G</v>
      </c>
      <c r="T55" s="71" t="str">
        <f t="shared" ref="T55" si="27">S55</f>
        <v>G</v>
      </c>
      <c r="U55" s="44" t="s">
        <v>79</v>
      </c>
      <c r="V55" s="71" t="str">
        <f>U54</f>
        <v>G</v>
      </c>
      <c r="W55" s="44" t="s">
        <v>79</v>
      </c>
      <c r="X55" s="44" t="s">
        <v>79</v>
      </c>
      <c r="Y55" s="44" t="s">
        <v>79</v>
      </c>
      <c r="Z55" s="44" t="s">
        <v>79</v>
      </c>
      <c r="AA55" s="44" t="s">
        <v>79</v>
      </c>
      <c r="AB55" s="44" t="s">
        <v>79</v>
      </c>
      <c r="AC55" s="44" t="s">
        <v>79</v>
      </c>
      <c r="AD55" s="44" t="s">
        <v>79</v>
      </c>
    </row>
    <row r="56" spans="1:30" x14ac:dyDescent="0.3">
      <c r="A56" s="49" t="e">
        <f>+'HS - Positions and Funding'!#REF!</f>
        <v>#REF!</v>
      </c>
      <c r="B56" s="50" t="e">
        <f>+'HS - Positions and Funding'!#REF!</f>
        <v>#REF!</v>
      </c>
      <c r="C56" s="54" t="e">
        <f>+'HS - Positions and Funding'!#REF!</f>
        <v>#REF!</v>
      </c>
      <c r="D56" s="54" t="e">
        <f>+'HS - Positions and Funding'!#REF!</f>
        <v>#REF!</v>
      </c>
      <c r="E56" s="49" t="e">
        <f>+'HS - Positions and Funding'!#REF!</f>
        <v>#REF!</v>
      </c>
      <c r="F56" s="75" t="e">
        <f>+'HS - Positions and Funding'!#REF!</f>
        <v>#REF!</v>
      </c>
      <c r="G56" s="44" t="s">
        <v>79</v>
      </c>
      <c r="H56" s="44" t="s">
        <v>79</v>
      </c>
      <c r="I56" s="44" t="s">
        <v>79</v>
      </c>
      <c r="J56" s="44" t="s">
        <v>79</v>
      </c>
      <c r="K56" s="44" t="s">
        <v>79</v>
      </c>
      <c r="L56" s="44" t="s">
        <v>79</v>
      </c>
      <c r="M56" s="44" t="s">
        <v>79</v>
      </c>
      <c r="N56" s="44" t="s">
        <v>79</v>
      </c>
      <c r="O56" s="44" t="s">
        <v>79</v>
      </c>
      <c r="P56" s="44" t="s">
        <v>79</v>
      </c>
      <c r="Q56" s="44" t="s">
        <v>79</v>
      </c>
      <c r="R56" s="73" t="e">
        <f>+'HS - Positions and Funding'!#REF!</f>
        <v>#REF!</v>
      </c>
      <c r="S56" s="74" t="e">
        <f>+'HS - Positions and Funding'!#REF!</f>
        <v>#REF!</v>
      </c>
      <c r="T56" s="44" t="s">
        <v>79</v>
      </c>
      <c r="U56" s="71" t="str">
        <f>T57</f>
        <v>G</v>
      </c>
      <c r="V56" s="44" t="s">
        <v>79</v>
      </c>
      <c r="W56" s="44" t="s">
        <v>79</v>
      </c>
      <c r="X56" s="44" t="s">
        <v>79</v>
      </c>
      <c r="Y56" s="44" t="s">
        <v>79</v>
      </c>
      <c r="Z56" s="44" t="s">
        <v>79</v>
      </c>
      <c r="AA56" s="44" t="s">
        <v>79</v>
      </c>
      <c r="AB56" s="44" t="s">
        <v>79</v>
      </c>
      <c r="AC56" s="44" t="s">
        <v>79</v>
      </c>
      <c r="AD56" s="44" t="s">
        <v>79</v>
      </c>
    </row>
    <row r="57" spans="1:30" x14ac:dyDescent="0.3">
      <c r="A57" s="49" t="str">
        <f>+'HS - Positions and Funding'!A78</f>
        <v>Volleyball - Girls</v>
      </c>
      <c r="B57" s="50">
        <f>+'HS - Positions and Funding'!B78</f>
        <v>12894</v>
      </c>
      <c r="C57" s="54">
        <f>+'HS - Positions and Funding'!D78</f>
        <v>1</v>
      </c>
      <c r="D57" s="54">
        <f>+'HS - Positions and Funding'!D79</f>
        <v>7</v>
      </c>
      <c r="E57" s="49" t="str">
        <f>+'HS - Positions and Funding'!C78</f>
        <v>Head Coach</v>
      </c>
      <c r="F57" s="75" t="str">
        <f>+'HS - Positions and Funding'!C79</f>
        <v>Assistant Coach</v>
      </c>
      <c r="G57" s="71" t="str">
        <f t="shared" si="17"/>
        <v>Assistant Coach</v>
      </c>
      <c r="H57" s="71" t="str">
        <f t="shared" si="17"/>
        <v>Assistant Coach</v>
      </c>
      <c r="I57" s="71" t="str">
        <f t="shared" si="17"/>
        <v>Assistant Coach</v>
      </c>
      <c r="J57" s="71" t="str">
        <f t="shared" si="17"/>
        <v>Assistant Coach</v>
      </c>
      <c r="K57" s="71" t="str">
        <f t="shared" si="17"/>
        <v>Assistant Coach</v>
      </c>
      <c r="L57" s="44" t="s">
        <v>79</v>
      </c>
      <c r="M57" s="44" t="s">
        <v>79</v>
      </c>
      <c r="N57" s="44" t="s">
        <v>79</v>
      </c>
      <c r="O57" s="44" t="s">
        <v>79</v>
      </c>
      <c r="P57" s="44" t="s">
        <v>79</v>
      </c>
      <c r="Q57" s="44" t="s">
        <v>79</v>
      </c>
      <c r="R57" s="73" t="str">
        <f>+'HS - Positions and Funding'!E78</f>
        <v>C</v>
      </c>
      <c r="S57" s="74" t="str">
        <f>+'HS - Positions and Funding'!E79</f>
        <v>G</v>
      </c>
      <c r="T57" s="71" t="str">
        <f t="shared" ref="T57:X57" si="28">S57</f>
        <v>G</v>
      </c>
      <c r="U57" s="71" t="str">
        <f>T58</f>
        <v>G</v>
      </c>
      <c r="V57" s="71" t="str">
        <f>U56</f>
        <v>G</v>
      </c>
      <c r="W57" s="71" t="str">
        <f t="shared" si="28"/>
        <v>G</v>
      </c>
      <c r="X57" s="71" t="str">
        <f t="shared" si="28"/>
        <v>G</v>
      </c>
      <c r="Y57" s="44" t="s">
        <v>79</v>
      </c>
      <c r="Z57" s="44" t="s">
        <v>79</v>
      </c>
      <c r="AA57" s="44" t="s">
        <v>79</v>
      </c>
      <c r="AB57" s="44" t="s">
        <v>79</v>
      </c>
      <c r="AC57" s="44" t="s">
        <v>79</v>
      </c>
      <c r="AD57" s="44" t="s">
        <v>79</v>
      </c>
    </row>
    <row r="58" spans="1:30" x14ac:dyDescent="0.3">
      <c r="A58" s="49" t="str">
        <f>+'HS - Positions and Funding'!A84</f>
        <v>Wrestling - Boys</v>
      </c>
      <c r="B58" s="50">
        <f>+'HS - Positions and Funding'!B84</f>
        <v>12894</v>
      </c>
      <c r="C58" s="54">
        <f>+'HS - Positions and Funding'!D84</f>
        <v>1</v>
      </c>
      <c r="D58" s="54">
        <f>+'HS - Positions and Funding'!D85</f>
        <v>7</v>
      </c>
      <c r="E58" s="49" t="str">
        <f>+'HS - Positions and Funding'!C84</f>
        <v>Head Coach</v>
      </c>
      <c r="F58" s="75" t="str">
        <f>+'HS - Positions and Funding'!C85</f>
        <v>Assistant Coach</v>
      </c>
      <c r="G58" s="71" t="str">
        <f t="shared" si="17"/>
        <v>Assistant Coach</v>
      </c>
      <c r="H58" s="71" t="str">
        <f t="shared" si="17"/>
        <v>Assistant Coach</v>
      </c>
      <c r="I58" s="71" t="str">
        <f t="shared" si="17"/>
        <v>Assistant Coach</v>
      </c>
      <c r="J58" s="44" t="s">
        <v>79</v>
      </c>
      <c r="K58" s="44" t="s">
        <v>79</v>
      </c>
      <c r="L58" s="44" t="s">
        <v>79</v>
      </c>
      <c r="M58" s="44" t="s">
        <v>79</v>
      </c>
      <c r="N58" s="44" t="s">
        <v>79</v>
      </c>
      <c r="O58" s="44" t="s">
        <v>79</v>
      </c>
      <c r="P58" s="44" t="s">
        <v>79</v>
      </c>
      <c r="Q58" s="44" t="s">
        <v>79</v>
      </c>
      <c r="R58" s="73" t="str">
        <f>+'HS - Positions and Funding'!E84</f>
        <v>C</v>
      </c>
      <c r="S58" s="74" t="str">
        <f>+'HS - Positions and Funding'!E85</f>
        <v>G</v>
      </c>
      <c r="T58" s="71" t="str">
        <f t="shared" ref="T58" si="29">S58</f>
        <v>G</v>
      </c>
      <c r="U58" s="44" t="s">
        <v>79</v>
      </c>
      <c r="V58" s="71" t="str">
        <f>U57</f>
        <v>G</v>
      </c>
      <c r="W58" s="44" t="s">
        <v>79</v>
      </c>
      <c r="X58" s="44" t="s">
        <v>79</v>
      </c>
      <c r="Y58" s="44" t="s">
        <v>79</v>
      </c>
      <c r="Z58" s="44" t="s">
        <v>79</v>
      </c>
      <c r="AA58" s="44" t="s">
        <v>79</v>
      </c>
      <c r="AB58" s="44" t="s">
        <v>79</v>
      </c>
      <c r="AC58" s="44" t="s">
        <v>79</v>
      </c>
      <c r="AD58" s="44" t="s">
        <v>79</v>
      </c>
    </row>
    <row r="59" spans="1:30" x14ac:dyDescent="0.3">
      <c r="A59" s="49" t="str">
        <f>+'HS - Positions and Funding'!A88</f>
        <v>Yearbook</v>
      </c>
      <c r="B59" s="50">
        <f>+'HS - Positions and Funding'!B88</f>
        <v>2492</v>
      </c>
      <c r="C59" s="54">
        <f>+'HS - Positions and Funding'!D88</f>
        <v>1</v>
      </c>
      <c r="D59" s="54">
        <f>+'HS - Positions and Funding'!D89</f>
        <v>1</v>
      </c>
      <c r="E59" s="49" t="str">
        <f>+'HS - Positions and Funding'!C88</f>
        <v>Head Advisor</v>
      </c>
      <c r="F59" s="75" t="str">
        <f>+'HS - Positions and Funding'!C89</f>
        <v>Assistant Advisor</v>
      </c>
      <c r="G59" s="44" t="s">
        <v>79</v>
      </c>
      <c r="H59" s="44" t="s">
        <v>79</v>
      </c>
      <c r="I59" s="44" t="s">
        <v>79</v>
      </c>
      <c r="J59" s="44" t="s">
        <v>79</v>
      </c>
      <c r="K59" s="44" t="s">
        <v>79</v>
      </c>
      <c r="L59" s="44" t="s">
        <v>79</v>
      </c>
      <c r="M59" s="44" t="s">
        <v>79</v>
      </c>
      <c r="N59" s="44" t="s">
        <v>79</v>
      </c>
      <c r="O59" s="44" t="s">
        <v>79</v>
      </c>
      <c r="P59" s="44" t="s">
        <v>79</v>
      </c>
      <c r="Q59" s="44" t="s">
        <v>79</v>
      </c>
      <c r="R59" s="73" t="str">
        <f>+'HS - Positions and Funding'!E88</f>
        <v>H</v>
      </c>
      <c r="S59" s="74" t="str">
        <f>+'HS - Positions and Funding'!E89</f>
        <v>J</v>
      </c>
      <c r="T59" s="44" t="s">
        <v>79</v>
      </c>
      <c r="V59" s="44" t="s">
        <v>79</v>
      </c>
      <c r="W59" s="44" t="s">
        <v>79</v>
      </c>
      <c r="X59" s="44" t="s">
        <v>79</v>
      </c>
      <c r="Y59" s="44" t="s">
        <v>79</v>
      </c>
      <c r="Z59" s="44" t="s">
        <v>79</v>
      </c>
      <c r="AA59" s="44" t="s">
        <v>79</v>
      </c>
      <c r="AB59" s="44" t="s">
        <v>79</v>
      </c>
      <c r="AC59" s="44" t="s">
        <v>79</v>
      </c>
      <c r="AD59" s="44" t="s">
        <v>79</v>
      </c>
    </row>
    <row r="60" spans="1:30" x14ac:dyDescent="0.3">
      <c r="G60" s="52"/>
      <c r="H60" s="52"/>
      <c r="I60" s="51"/>
      <c r="J60" s="51"/>
    </row>
    <row r="61" spans="1:30" x14ac:dyDescent="0.3">
      <c r="G61" s="51"/>
      <c r="H61" s="53"/>
      <c r="I61" s="51"/>
      <c r="J61" s="51"/>
    </row>
    <row r="62" spans="1:30" x14ac:dyDescent="0.3">
      <c r="G62" s="51"/>
      <c r="H62" s="53"/>
      <c r="I62" s="51"/>
      <c r="J62" s="51"/>
    </row>
    <row r="63" spans="1:30" x14ac:dyDescent="0.3">
      <c r="A63" s="43" t="s">
        <v>91</v>
      </c>
      <c r="G63" s="51"/>
      <c r="H63" s="53"/>
      <c r="I63" s="51"/>
      <c r="J63" s="51"/>
    </row>
    <row r="64" spans="1:30" ht="41.4" x14ac:dyDescent="0.3">
      <c r="A64" s="48"/>
      <c r="C64" s="70" t="s">
        <v>95</v>
      </c>
      <c r="D64" s="70" t="s">
        <v>96</v>
      </c>
      <c r="E64" s="70" t="s">
        <v>97</v>
      </c>
      <c r="F64" s="48" t="s">
        <v>100</v>
      </c>
      <c r="G64" s="48" t="s">
        <v>100</v>
      </c>
      <c r="H64" s="48" t="s">
        <v>100</v>
      </c>
      <c r="I64" s="48" t="s">
        <v>100</v>
      </c>
      <c r="J64" s="48" t="s">
        <v>100</v>
      </c>
      <c r="K64" s="44" t="s">
        <v>101</v>
      </c>
      <c r="L64" s="44" t="s">
        <v>102</v>
      </c>
      <c r="M64" s="54"/>
      <c r="N64" s="54"/>
      <c r="O64" s="54"/>
      <c r="P64" s="54"/>
    </row>
    <row r="65" spans="1:16" x14ac:dyDescent="0.3">
      <c r="A65" s="49" t="e">
        <f>+#REF!</f>
        <v>#REF!</v>
      </c>
      <c r="B65" s="56" t="e">
        <f>+#REF!+#REF!</f>
        <v>#REF!</v>
      </c>
      <c r="C65" s="76" t="e">
        <f>+#REF!</f>
        <v>#REF!</v>
      </c>
      <c r="D65" s="76" t="e">
        <f>+#REF!</f>
        <v>#REF!</v>
      </c>
      <c r="E65" s="56" t="e">
        <f>+#REF!</f>
        <v>#REF!</v>
      </c>
      <c r="F65" s="44" t="s">
        <v>79</v>
      </c>
      <c r="G65" s="44" t="s">
        <v>79</v>
      </c>
      <c r="H65" s="44" t="s">
        <v>79</v>
      </c>
      <c r="I65" s="44" t="s">
        <v>79</v>
      </c>
      <c r="J65" s="44" t="s">
        <v>79</v>
      </c>
      <c r="K65" s="57" t="e">
        <f>+#REF!</f>
        <v>#REF!</v>
      </c>
      <c r="L65" s="55" t="e">
        <f>+#REF!</f>
        <v>#REF!</v>
      </c>
      <c r="M65" s="56">
        <v>0</v>
      </c>
      <c r="N65" s="56">
        <v>0</v>
      </c>
      <c r="O65" s="56">
        <v>0</v>
      </c>
      <c r="P65" s="56">
        <v>0</v>
      </c>
    </row>
    <row r="66" spans="1:16" x14ac:dyDescent="0.3">
      <c r="A66" s="49" t="e">
        <f>+#REF!</f>
        <v>#REF!</v>
      </c>
      <c r="B66" s="56" t="e">
        <f>+#REF!+#REF!</f>
        <v>#REF!</v>
      </c>
      <c r="C66" s="76" t="e">
        <f>+#REF!</f>
        <v>#REF!</v>
      </c>
      <c r="D66" s="76" t="e">
        <f>+#REF!</f>
        <v>#REF!</v>
      </c>
      <c r="E66" s="56" t="e">
        <f>+#REF!</f>
        <v>#REF!</v>
      </c>
      <c r="F66" s="56" t="e">
        <f>+#REF!</f>
        <v>#REF!</v>
      </c>
      <c r="G66" s="44" t="s">
        <v>79</v>
      </c>
      <c r="H66" s="84" t="str">
        <f t="shared" ref="H66:J66" si="30">+G66</f>
        <v>N/A</v>
      </c>
      <c r="I66" s="84" t="str">
        <f t="shared" si="30"/>
        <v>N/A</v>
      </c>
      <c r="J66" s="84" t="str">
        <f t="shared" si="30"/>
        <v>N/A</v>
      </c>
      <c r="K66" s="57" t="e">
        <f>+#REF!</f>
        <v>#REF!</v>
      </c>
      <c r="L66" s="55" t="e">
        <f>+#REF!</f>
        <v>#REF!</v>
      </c>
      <c r="M66" s="56">
        <v>0</v>
      </c>
      <c r="N66" s="56">
        <v>0</v>
      </c>
      <c r="O66" s="56">
        <v>0</v>
      </c>
      <c r="P66" s="56">
        <v>0</v>
      </c>
    </row>
    <row r="67" spans="1:16" x14ac:dyDescent="0.3">
      <c r="A67" s="49" t="e">
        <f>+#REF!</f>
        <v>#REF!</v>
      </c>
      <c r="B67" s="56" t="e">
        <f>+#REF!+#REF!</f>
        <v>#REF!</v>
      </c>
      <c r="C67" s="76" t="e">
        <f>+#REF!</f>
        <v>#REF!</v>
      </c>
      <c r="D67" s="76" t="e">
        <f>+#REF!</f>
        <v>#REF!</v>
      </c>
      <c r="E67" s="56" t="e">
        <f>+#REF!</f>
        <v>#REF!</v>
      </c>
      <c r="F67" s="56" t="e">
        <f>+#REF!</f>
        <v>#REF!</v>
      </c>
      <c r="G67" s="44" t="s">
        <v>79</v>
      </c>
      <c r="H67" s="84" t="str">
        <f t="shared" ref="H67:J67" si="31">+G67</f>
        <v>N/A</v>
      </c>
      <c r="I67" s="84" t="str">
        <f t="shared" si="31"/>
        <v>N/A</v>
      </c>
      <c r="J67" s="84" t="str">
        <f t="shared" si="31"/>
        <v>N/A</v>
      </c>
      <c r="K67" s="57" t="e">
        <f>+#REF!</f>
        <v>#REF!</v>
      </c>
      <c r="L67" s="55" t="e">
        <f>+#REF!</f>
        <v>#REF!</v>
      </c>
      <c r="M67" s="56">
        <v>0</v>
      </c>
      <c r="N67" s="56">
        <v>0</v>
      </c>
      <c r="O67" s="56">
        <v>0</v>
      </c>
      <c r="P67" s="56">
        <v>0</v>
      </c>
    </row>
    <row r="68" spans="1:16" x14ac:dyDescent="0.3">
      <c r="A68" s="49" t="e">
        <f>+#REF!</f>
        <v>#REF!</v>
      </c>
      <c r="B68" s="56" t="e">
        <f>+#REF!+#REF!</f>
        <v>#REF!</v>
      </c>
      <c r="C68" s="76" t="e">
        <f>+#REF!</f>
        <v>#REF!</v>
      </c>
      <c r="D68" s="76" t="e">
        <f>+#REF!</f>
        <v>#REF!</v>
      </c>
      <c r="E68" s="56" t="e">
        <f>+#REF!</f>
        <v>#REF!</v>
      </c>
      <c r="F68" s="56" t="e">
        <f>+#REF!</f>
        <v>#REF!</v>
      </c>
      <c r="G68" s="84" t="e">
        <f t="shared" ref="G68:J68" si="32">+F68</f>
        <v>#REF!</v>
      </c>
      <c r="H68" s="84" t="e">
        <f t="shared" si="32"/>
        <v>#REF!</v>
      </c>
      <c r="I68" s="84" t="e">
        <f t="shared" si="32"/>
        <v>#REF!</v>
      </c>
      <c r="J68" s="84" t="e">
        <f t="shared" si="32"/>
        <v>#REF!</v>
      </c>
      <c r="K68" s="57" t="e">
        <f>+#REF!</f>
        <v>#REF!</v>
      </c>
      <c r="L68" s="55" t="e">
        <f>+#REF!</f>
        <v>#REF!</v>
      </c>
      <c r="M68" s="56" t="e">
        <f t="shared" ref="M68:P76" si="33">+L68</f>
        <v>#REF!</v>
      </c>
      <c r="N68" s="56" t="e">
        <f t="shared" si="33"/>
        <v>#REF!</v>
      </c>
      <c r="O68" s="56" t="e">
        <f t="shared" si="33"/>
        <v>#REF!</v>
      </c>
      <c r="P68" s="56" t="e">
        <f t="shared" si="33"/>
        <v>#REF!</v>
      </c>
    </row>
    <row r="69" spans="1:16" x14ac:dyDescent="0.3">
      <c r="A69" s="49" t="e">
        <f>+#REF!</f>
        <v>#REF!</v>
      </c>
      <c r="B69" s="56" t="e">
        <f>+#REF!+#REF!</f>
        <v>#REF!</v>
      </c>
      <c r="C69" s="76" t="e">
        <f>+#REF!</f>
        <v>#REF!</v>
      </c>
      <c r="D69" s="76" t="e">
        <f>+#REF!</f>
        <v>#REF!</v>
      </c>
      <c r="E69" s="56" t="e">
        <f>+#REF!</f>
        <v>#REF!</v>
      </c>
      <c r="F69" s="56" t="e">
        <f>+#REF!</f>
        <v>#REF!</v>
      </c>
      <c r="G69" s="84" t="e">
        <f t="shared" ref="G69:J69" si="34">+F69</f>
        <v>#REF!</v>
      </c>
      <c r="H69" s="84" t="e">
        <f t="shared" si="34"/>
        <v>#REF!</v>
      </c>
      <c r="I69" s="84" t="e">
        <f t="shared" si="34"/>
        <v>#REF!</v>
      </c>
      <c r="J69" s="84" t="e">
        <f t="shared" si="34"/>
        <v>#REF!</v>
      </c>
      <c r="K69" s="57" t="e">
        <f>+#REF!</f>
        <v>#REF!</v>
      </c>
      <c r="L69" s="55" t="e">
        <f>+#REF!</f>
        <v>#REF!</v>
      </c>
      <c r="M69" s="56" t="e">
        <f t="shared" si="33"/>
        <v>#REF!</v>
      </c>
      <c r="N69" s="56" t="e">
        <f t="shared" si="33"/>
        <v>#REF!</v>
      </c>
      <c r="O69" s="56" t="e">
        <f t="shared" si="33"/>
        <v>#REF!</v>
      </c>
      <c r="P69" s="56" t="e">
        <f t="shared" si="33"/>
        <v>#REF!</v>
      </c>
    </row>
    <row r="70" spans="1:16" x14ac:dyDescent="0.3">
      <c r="A70" s="49" t="e">
        <f>+#REF!</f>
        <v>#REF!</v>
      </c>
      <c r="B70" s="56" t="e">
        <f>+#REF!+#REF!</f>
        <v>#REF!</v>
      </c>
      <c r="C70" s="76" t="e">
        <f>+#REF!</f>
        <v>#REF!</v>
      </c>
      <c r="D70" s="76" t="e">
        <f>+#REF!</f>
        <v>#REF!</v>
      </c>
      <c r="E70" s="56" t="e">
        <f>+#REF!</f>
        <v>#REF!</v>
      </c>
      <c r="F70" s="44" t="s">
        <v>79</v>
      </c>
      <c r="G70" s="84" t="str">
        <f t="shared" ref="G70:J70" si="35">+F70</f>
        <v>N/A</v>
      </c>
      <c r="H70" s="84" t="str">
        <f t="shared" si="35"/>
        <v>N/A</v>
      </c>
      <c r="I70" s="84" t="str">
        <f t="shared" si="35"/>
        <v>N/A</v>
      </c>
      <c r="J70" s="84" t="str">
        <f t="shared" si="35"/>
        <v>N/A</v>
      </c>
      <c r="K70" s="57" t="e">
        <f>+#REF!</f>
        <v>#REF!</v>
      </c>
      <c r="L70" s="55" t="e">
        <f>+#REF!</f>
        <v>#REF!</v>
      </c>
      <c r="M70" s="56">
        <v>0</v>
      </c>
      <c r="N70" s="56">
        <v>0</v>
      </c>
      <c r="O70" s="56">
        <v>0</v>
      </c>
      <c r="P70" s="56">
        <v>0</v>
      </c>
    </row>
    <row r="71" spans="1:16" x14ac:dyDescent="0.3">
      <c r="A71" s="49" t="e">
        <f>+#REF!</f>
        <v>#REF!</v>
      </c>
      <c r="B71" s="56" t="e">
        <f>+#REF!+#REF!</f>
        <v>#REF!</v>
      </c>
      <c r="C71" s="76" t="e">
        <f>+#REF!</f>
        <v>#REF!</v>
      </c>
      <c r="D71" s="76" t="e">
        <f>+#REF!</f>
        <v>#REF!</v>
      </c>
      <c r="E71" s="56" t="e">
        <f>+#REF!</f>
        <v>#REF!</v>
      </c>
      <c r="F71" s="56" t="e">
        <f>+#REF!</f>
        <v>#REF!</v>
      </c>
      <c r="G71" s="44" t="s">
        <v>79</v>
      </c>
      <c r="H71" s="84" t="str">
        <f t="shared" ref="H71:J71" si="36">+G71</f>
        <v>N/A</v>
      </c>
      <c r="I71" s="84" t="str">
        <f t="shared" si="36"/>
        <v>N/A</v>
      </c>
      <c r="J71" s="84" t="str">
        <f t="shared" si="36"/>
        <v>N/A</v>
      </c>
      <c r="K71" s="57" t="e">
        <f>+#REF!</f>
        <v>#REF!</v>
      </c>
      <c r="L71" s="55" t="e">
        <f>+#REF!</f>
        <v>#REF!</v>
      </c>
      <c r="M71" s="56">
        <v>0</v>
      </c>
      <c r="N71" s="56">
        <v>0</v>
      </c>
      <c r="O71" s="56">
        <v>0</v>
      </c>
      <c r="P71" s="56">
        <v>0</v>
      </c>
    </row>
    <row r="72" spans="1:16" x14ac:dyDescent="0.3">
      <c r="A72" s="49" t="e">
        <f>+#REF!</f>
        <v>#REF!</v>
      </c>
      <c r="B72" s="56" t="e">
        <f>+#REF!+#REF!</f>
        <v>#REF!</v>
      </c>
      <c r="C72" s="76" t="e">
        <f>+#REF!</f>
        <v>#REF!</v>
      </c>
      <c r="D72" s="76" t="e">
        <f>+#REF!</f>
        <v>#REF!</v>
      </c>
      <c r="E72" s="56" t="e">
        <f>+#REF!</f>
        <v>#REF!</v>
      </c>
      <c r="F72" s="56" t="e">
        <f>+#REF!</f>
        <v>#REF!</v>
      </c>
      <c r="G72" s="84" t="e">
        <f t="shared" ref="G72:J72" si="37">+F72</f>
        <v>#REF!</v>
      </c>
      <c r="H72" s="84" t="e">
        <f t="shared" si="37"/>
        <v>#REF!</v>
      </c>
      <c r="I72" s="84" t="e">
        <f t="shared" si="37"/>
        <v>#REF!</v>
      </c>
      <c r="J72" s="84" t="e">
        <f t="shared" si="37"/>
        <v>#REF!</v>
      </c>
      <c r="K72" s="57" t="e">
        <f>+#REF!</f>
        <v>#REF!</v>
      </c>
      <c r="L72" s="55" t="e">
        <f>+#REF!</f>
        <v>#REF!</v>
      </c>
      <c r="M72" s="56" t="e">
        <f t="shared" si="33"/>
        <v>#REF!</v>
      </c>
      <c r="N72" s="56" t="e">
        <f t="shared" si="33"/>
        <v>#REF!</v>
      </c>
      <c r="O72" s="56" t="e">
        <f t="shared" si="33"/>
        <v>#REF!</v>
      </c>
      <c r="P72" s="56" t="e">
        <f t="shared" si="33"/>
        <v>#REF!</v>
      </c>
    </row>
    <row r="73" spans="1:16" x14ac:dyDescent="0.3">
      <c r="A73" s="49" t="e">
        <f>+#REF!</f>
        <v>#REF!</v>
      </c>
      <c r="B73" s="56" t="e">
        <f>+#REF!+#REF!</f>
        <v>#REF!</v>
      </c>
      <c r="C73" s="76" t="e">
        <f>+#REF!</f>
        <v>#REF!</v>
      </c>
      <c r="D73" s="76" t="e">
        <f>+#REF!</f>
        <v>#REF!</v>
      </c>
      <c r="E73" s="56" t="e">
        <f>+#REF!</f>
        <v>#REF!</v>
      </c>
      <c r="F73" s="56" t="e">
        <f>+#REF!</f>
        <v>#REF!</v>
      </c>
      <c r="G73" s="84" t="e">
        <f t="shared" ref="G73:J73" si="38">+F73</f>
        <v>#REF!</v>
      </c>
      <c r="H73" s="84" t="e">
        <f t="shared" si="38"/>
        <v>#REF!</v>
      </c>
      <c r="I73" s="84" t="e">
        <f t="shared" si="38"/>
        <v>#REF!</v>
      </c>
      <c r="J73" s="84" t="e">
        <f t="shared" si="38"/>
        <v>#REF!</v>
      </c>
      <c r="K73" s="57" t="e">
        <f>+#REF!</f>
        <v>#REF!</v>
      </c>
      <c r="L73" s="55" t="e">
        <f>+#REF!</f>
        <v>#REF!</v>
      </c>
      <c r="M73" s="56" t="e">
        <f t="shared" si="33"/>
        <v>#REF!</v>
      </c>
      <c r="N73" s="56" t="e">
        <f t="shared" si="33"/>
        <v>#REF!</v>
      </c>
      <c r="O73" s="56" t="e">
        <f t="shared" si="33"/>
        <v>#REF!</v>
      </c>
      <c r="P73" s="56" t="e">
        <f t="shared" si="33"/>
        <v>#REF!</v>
      </c>
    </row>
    <row r="74" spans="1:16" x14ac:dyDescent="0.3">
      <c r="A74" s="49" t="e">
        <f>+#REF!</f>
        <v>#REF!</v>
      </c>
      <c r="B74" s="56" t="e">
        <f>+#REF!+#REF!</f>
        <v>#REF!</v>
      </c>
      <c r="C74" s="76" t="e">
        <f>+#REF!</f>
        <v>#REF!</v>
      </c>
      <c r="D74" s="76" t="e">
        <f>+#REF!</f>
        <v>#REF!</v>
      </c>
      <c r="E74" s="56" t="e">
        <f>+#REF!</f>
        <v>#REF!</v>
      </c>
      <c r="F74" s="56" t="e">
        <f>+#REF!</f>
        <v>#REF!</v>
      </c>
      <c r="G74" s="84" t="e">
        <f t="shared" ref="G74:J74" si="39">+F74</f>
        <v>#REF!</v>
      </c>
      <c r="H74" s="84" t="e">
        <f t="shared" si="39"/>
        <v>#REF!</v>
      </c>
      <c r="I74" s="84" t="e">
        <f t="shared" si="39"/>
        <v>#REF!</v>
      </c>
      <c r="J74" s="84" t="e">
        <f t="shared" si="39"/>
        <v>#REF!</v>
      </c>
      <c r="K74" s="57" t="e">
        <f>+#REF!</f>
        <v>#REF!</v>
      </c>
      <c r="L74" s="55" t="e">
        <f>+#REF!</f>
        <v>#REF!</v>
      </c>
      <c r="M74" s="56" t="e">
        <f t="shared" si="33"/>
        <v>#REF!</v>
      </c>
      <c r="N74" s="56" t="e">
        <f t="shared" si="33"/>
        <v>#REF!</v>
      </c>
      <c r="O74" s="56" t="e">
        <f t="shared" si="33"/>
        <v>#REF!</v>
      </c>
      <c r="P74" s="56" t="e">
        <f t="shared" si="33"/>
        <v>#REF!</v>
      </c>
    </row>
    <row r="75" spans="1:16" x14ac:dyDescent="0.3">
      <c r="A75" s="49" t="e">
        <f>+#REF!</f>
        <v>#REF!</v>
      </c>
      <c r="B75" s="56" t="e">
        <f>+#REF!+#REF!</f>
        <v>#REF!</v>
      </c>
      <c r="C75" s="76" t="e">
        <f>+#REF!</f>
        <v>#REF!</v>
      </c>
      <c r="D75" s="76" t="e">
        <f>+#REF!</f>
        <v>#REF!</v>
      </c>
      <c r="E75" s="56" t="e">
        <f>+#REF!</f>
        <v>#REF!</v>
      </c>
      <c r="F75" s="56" t="e">
        <f>+#REF!</f>
        <v>#REF!</v>
      </c>
      <c r="G75" s="84" t="e">
        <f t="shared" ref="G75:J75" si="40">+F75</f>
        <v>#REF!</v>
      </c>
      <c r="H75" s="84" t="e">
        <f t="shared" si="40"/>
        <v>#REF!</v>
      </c>
      <c r="I75" s="84" t="e">
        <f t="shared" si="40"/>
        <v>#REF!</v>
      </c>
      <c r="J75" s="84" t="e">
        <f t="shared" si="40"/>
        <v>#REF!</v>
      </c>
      <c r="K75" s="57" t="e">
        <f>+#REF!</f>
        <v>#REF!</v>
      </c>
      <c r="L75" s="55" t="e">
        <f>+#REF!</f>
        <v>#REF!</v>
      </c>
      <c r="M75" s="56" t="e">
        <f t="shared" si="33"/>
        <v>#REF!</v>
      </c>
      <c r="N75" s="56" t="e">
        <f t="shared" si="33"/>
        <v>#REF!</v>
      </c>
      <c r="O75" s="56" t="e">
        <f t="shared" si="33"/>
        <v>#REF!</v>
      </c>
      <c r="P75" s="56" t="e">
        <f t="shared" si="33"/>
        <v>#REF!</v>
      </c>
    </row>
    <row r="76" spans="1:16" x14ac:dyDescent="0.3">
      <c r="A76" s="49" t="e">
        <f>+#REF!</f>
        <v>#REF!</v>
      </c>
      <c r="B76" s="56" t="e">
        <f>+#REF!+#REF!</f>
        <v>#REF!</v>
      </c>
      <c r="C76" s="76" t="e">
        <f>+#REF!</f>
        <v>#REF!</v>
      </c>
      <c r="D76" s="76" t="e">
        <f>+#REF!</f>
        <v>#REF!</v>
      </c>
      <c r="E76" s="56" t="e">
        <f>+#REF!</f>
        <v>#REF!</v>
      </c>
      <c r="F76" s="56" t="e">
        <f>+#REF!</f>
        <v>#REF!</v>
      </c>
      <c r="G76" s="84" t="e">
        <f t="shared" ref="G76:J76" si="41">+F76</f>
        <v>#REF!</v>
      </c>
      <c r="H76" s="84" t="e">
        <f t="shared" si="41"/>
        <v>#REF!</v>
      </c>
      <c r="I76" s="84" t="e">
        <f t="shared" si="41"/>
        <v>#REF!</v>
      </c>
      <c r="J76" s="84" t="e">
        <f t="shared" si="41"/>
        <v>#REF!</v>
      </c>
      <c r="K76" s="57" t="e">
        <f>+#REF!</f>
        <v>#REF!</v>
      </c>
      <c r="L76" s="55" t="e">
        <f>+#REF!</f>
        <v>#REF!</v>
      </c>
      <c r="M76" s="56" t="e">
        <f t="shared" si="33"/>
        <v>#REF!</v>
      </c>
      <c r="N76" s="56" t="e">
        <f t="shared" si="33"/>
        <v>#REF!</v>
      </c>
      <c r="O76" s="56" t="e">
        <f t="shared" si="33"/>
        <v>#REF!</v>
      </c>
      <c r="P76" s="56" t="e">
        <f t="shared" si="33"/>
        <v>#REF!</v>
      </c>
    </row>
    <row r="77" spans="1:16" x14ac:dyDescent="0.3">
      <c r="A77" s="51"/>
      <c r="G77" s="52"/>
      <c r="H77" s="52"/>
      <c r="I77" s="51"/>
      <c r="J77" s="51"/>
    </row>
    <row r="78" spans="1:16" x14ac:dyDescent="0.3">
      <c r="G78" s="58"/>
      <c r="H78" s="58"/>
    </row>
    <row r="79" spans="1:16" x14ac:dyDescent="0.3">
      <c r="G79" s="58"/>
      <c r="H79" s="58"/>
    </row>
    <row r="80" spans="1:16" x14ac:dyDescent="0.3">
      <c r="G80" s="58"/>
      <c r="H80" s="58"/>
    </row>
    <row r="81" spans="7:8" x14ac:dyDescent="0.3">
      <c r="G81" s="58"/>
      <c r="H81" s="58"/>
    </row>
    <row r="82" spans="7:8" x14ac:dyDescent="0.3">
      <c r="G82" s="58"/>
      <c r="H82" s="58"/>
    </row>
    <row r="83" spans="7:8" x14ac:dyDescent="0.3">
      <c r="G83" s="58"/>
      <c r="H83" s="58"/>
    </row>
    <row r="84" spans="7:8" x14ac:dyDescent="0.3">
      <c r="G84" s="58"/>
      <c r="H84" s="58"/>
    </row>
    <row r="85" spans="7:8" x14ac:dyDescent="0.3">
      <c r="G85" s="58"/>
      <c r="H85" s="58"/>
    </row>
    <row r="86" spans="7:8" x14ac:dyDescent="0.3">
      <c r="G86" s="58"/>
      <c r="H86" s="58"/>
    </row>
  </sheetData>
  <sheetProtection algorithmName="SHA-512" hashValue="Sx8THWQ8Q3PiE2PQREhkMMMnKePsZGsh/aSMHC72qMQfbTPo6Q5Tmfw5tjheFmW2Pm24oLk4qyJcAUIo+KpZTQ==" saltValue="WkGLCjjDELYV4sDy9Hs/lQ==" spinCount="100000" sheet="1" objects="1" scenarios="1" selectLockedCell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59999389629810485"/>
    <pageSetUpPr fitToPage="1"/>
  </sheetPr>
  <dimension ref="A1:AP25"/>
  <sheetViews>
    <sheetView zoomScaleNormal="100" workbookViewId="0">
      <selection activeCell="H12" sqref="H12"/>
    </sheetView>
  </sheetViews>
  <sheetFormatPr defaultRowHeight="13.8" x14ac:dyDescent="0.3"/>
  <cols>
    <col min="1" max="1" width="6.77734375" style="1" customWidth="1"/>
    <col min="2" max="21" width="8.77734375" style="1" customWidth="1"/>
    <col min="22" max="22" width="2.77734375" style="1" hidden="1" customWidth="1"/>
    <col min="23" max="42" width="8.77734375" style="1" hidden="1" customWidth="1"/>
    <col min="43" max="16384" width="8.88671875" style="1"/>
  </cols>
  <sheetData>
    <row r="1" spans="1:42" s="4" customFormat="1" ht="21" customHeight="1" x14ac:dyDescent="0.4">
      <c r="A1" s="36" t="s">
        <v>83</v>
      </c>
      <c r="B1" s="38"/>
      <c r="C1" s="38"/>
      <c r="D1" s="38"/>
      <c r="E1" s="38"/>
      <c r="F1" s="38"/>
      <c r="G1" s="38"/>
      <c r="H1" s="38"/>
      <c r="I1" s="38"/>
      <c r="J1" s="38"/>
      <c r="K1" s="38"/>
      <c r="L1" s="38"/>
      <c r="M1" s="38"/>
      <c r="N1" s="38"/>
      <c r="O1" s="38"/>
      <c r="P1" s="38"/>
      <c r="Q1" s="38"/>
      <c r="R1" s="38"/>
      <c r="S1" s="38"/>
      <c r="T1" s="38"/>
      <c r="U1" s="38"/>
    </row>
    <row r="2" spans="1:42" s="5" customFormat="1" ht="21" customHeight="1" x14ac:dyDescent="0.4">
      <c r="A2" s="36" t="s">
        <v>184</v>
      </c>
      <c r="B2" s="37"/>
      <c r="C2" s="37"/>
      <c r="D2" s="37"/>
      <c r="E2" s="37"/>
      <c r="F2" s="37"/>
      <c r="G2" s="37"/>
      <c r="H2" s="37"/>
      <c r="I2" s="37"/>
      <c r="J2" s="37"/>
      <c r="K2" s="37"/>
      <c r="L2" s="37"/>
      <c r="M2" s="37"/>
      <c r="N2" s="37"/>
      <c r="O2" s="37"/>
      <c r="P2" s="37"/>
      <c r="Q2" s="37"/>
      <c r="R2" s="37"/>
      <c r="S2" s="37"/>
      <c r="T2" s="37"/>
      <c r="U2" s="37"/>
    </row>
    <row r="3" spans="1:42" s="63" customFormat="1" ht="18.600000000000001" thickBot="1" x14ac:dyDescent="0.4">
      <c r="A3" s="60"/>
      <c r="B3" s="61"/>
      <c r="C3" s="61"/>
      <c r="D3" s="61"/>
      <c r="E3" s="61"/>
      <c r="F3" s="61"/>
      <c r="G3" s="61"/>
      <c r="H3" s="61"/>
      <c r="I3" s="61"/>
      <c r="J3" s="61"/>
      <c r="K3" s="61"/>
      <c r="L3" s="61"/>
      <c r="M3" s="61"/>
      <c r="N3" s="61"/>
      <c r="O3" s="61"/>
      <c r="P3" s="61"/>
      <c r="Q3" s="61"/>
      <c r="R3" s="61"/>
      <c r="S3" s="62" t="s">
        <v>1</v>
      </c>
      <c r="T3" s="435">
        <f>+'HS - Positions and Funding'!U4</f>
        <v>39535.07</v>
      </c>
      <c r="U3" s="435"/>
    </row>
    <row r="4" spans="1:42" ht="19.95" customHeight="1" thickBot="1" x14ac:dyDescent="0.4">
      <c r="A4" s="425" t="s">
        <v>260</v>
      </c>
      <c r="B4" s="426"/>
      <c r="C4" s="426"/>
      <c r="D4" s="426"/>
      <c r="E4" s="426"/>
      <c r="F4" s="426"/>
      <c r="G4" s="426"/>
      <c r="H4" s="426"/>
      <c r="I4" s="426"/>
      <c r="J4" s="426"/>
      <c r="K4" s="426"/>
      <c r="L4" s="426"/>
      <c r="M4" s="426"/>
      <c r="N4" s="426"/>
      <c r="O4" s="426"/>
      <c r="P4" s="426"/>
      <c r="Q4" s="426"/>
      <c r="R4" s="426"/>
      <c r="S4" s="426"/>
      <c r="T4" s="426"/>
      <c r="U4" s="427"/>
      <c r="W4" s="432" t="s">
        <v>270</v>
      </c>
      <c r="X4" s="433"/>
      <c r="Y4" s="433"/>
      <c r="Z4" s="433"/>
      <c r="AA4" s="433"/>
      <c r="AB4" s="433"/>
      <c r="AC4" s="433"/>
      <c r="AD4" s="433"/>
      <c r="AE4" s="433"/>
      <c r="AF4" s="433"/>
      <c r="AG4" s="433"/>
      <c r="AH4" s="433"/>
      <c r="AI4" s="433"/>
      <c r="AJ4" s="433"/>
      <c r="AK4" s="433"/>
      <c r="AL4" s="433"/>
      <c r="AM4" s="433"/>
      <c r="AN4" s="433"/>
      <c r="AO4" s="433"/>
      <c r="AP4" s="434"/>
    </row>
    <row r="5" spans="1:42" s="9" customFormat="1" ht="19.95" customHeight="1" x14ac:dyDescent="0.3">
      <c r="A5" s="64"/>
      <c r="B5" s="428" t="s">
        <v>35</v>
      </c>
      <c r="C5" s="429"/>
      <c r="D5" s="428" t="s">
        <v>39</v>
      </c>
      <c r="E5" s="429"/>
      <c r="F5" s="428" t="s">
        <v>40</v>
      </c>
      <c r="G5" s="429"/>
      <c r="H5" s="428" t="s">
        <v>41</v>
      </c>
      <c r="I5" s="429"/>
      <c r="J5" s="428" t="s">
        <v>42</v>
      </c>
      <c r="K5" s="431"/>
      <c r="L5" s="428" t="s">
        <v>43</v>
      </c>
      <c r="M5" s="429"/>
      <c r="N5" s="428" t="s">
        <v>44</v>
      </c>
      <c r="O5" s="429"/>
      <c r="P5" s="428" t="s">
        <v>45</v>
      </c>
      <c r="Q5" s="429"/>
      <c r="R5" s="428" t="s">
        <v>48</v>
      </c>
      <c r="S5" s="429"/>
      <c r="T5" s="428" t="s">
        <v>49</v>
      </c>
      <c r="U5" s="430"/>
      <c r="W5" s="436" t="s">
        <v>35</v>
      </c>
      <c r="X5" s="429"/>
      <c r="Y5" s="428" t="s">
        <v>39</v>
      </c>
      <c r="Z5" s="429"/>
      <c r="AA5" s="428" t="s">
        <v>40</v>
      </c>
      <c r="AB5" s="429"/>
      <c r="AC5" s="428" t="s">
        <v>41</v>
      </c>
      <c r="AD5" s="429"/>
      <c r="AE5" s="428" t="s">
        <v>42</v>
      </c>
      <c r="AF5" s="431"/>
      <c r="AG5" s="428" t="s">
        <v>43</v>
      </c>
      <c r="AH5" s="429"/>
      <c r="AI5" s="428" t="s">
        <v>44</v>
      </c>
      <c r="AJ5" s="429"/>
      <c r="AK5" s="428" t="s">
        <v>45</v>
      </c>
      <c r="AL5" s="429"/>
      <c r="AM5" s="428" t="s">
        <v>48</v>
      </c>
      <c r="AN5" s="429"/>
      <c r="AO5" s="428" t="s">
        <v>49</v>
      </c>
      <c r="AP5" s="430"/>
    </row>
    <row r="6" spans="1:42" s="7" customFormat="1" ht="31.2" x14ac:dyDescent="0.3">
      <c r="A6" s="65" t="s">
        <v>34</v>
      </c>
      <c r="B6" s="41" t="s">
        <v>36</v>
      </c>
      <c r="C6" s="41" t="s">
        <v>37</v>
      </c>
      <c r="D6" s="41" t="s">
        <v>36</v>
      </c>
      <c r="E6" s="41" t="s">
        <v>37</v>
      </c>
      <c r="F6" s="41" t="s">
        <v>36</v>
      </c>
      <c r="G6" s="41" t="s">
        <v>37</v>
      </c>
      <c r="H6" s="41" t="s">
        <v>36</v>
      </c>
      <c r="I6" s="41" t="s">
        <v>37</v>
      </c>
      <c r="J6" s="41" t="s">
        <v>36</v>
      </c>
      <c r="K6" s="41" t="s">
        <v>37</v>
      </c>
      <c r="L6" s="41" t="s">
        <v>36</v>
      </c>
      <c r="M6" s="41" t="s">
        <v>37</v>
      </c>
      <c r="N6" s="41" t="s">
        <v>36</v>
      </c>
      <c r="O6" s="41" t="s">
        <v>37</v>
      </c>
      <c r="P6" s="41" t="s">
        <v>36</v>
      </c>
      <c r="Q6" s="41" t="s">
        <v>37</v>
      </c>
      <c r="R6" s="41" t="s">
        <v>36</v>
      </c>
      <c r="S6" s="41" t="s">
        <v>37</v>
      </c>
      <c r="T6" s="41" t="s">
        <v>36</v>
      </c>
      <c r="U6" s="66" t="s">
        <v>37</v>
      </c>
      <c r="W6" s="65" t="s">
        <v>37</v>
      </c>
      <c r="X6" s="41" t="s">
        <v>271</v>
      </c>
      <c r="Y6" s="41" t="s">
        <v>37</v>
      </c>
      <c r="Z6" s="41" t="s">
        <v>271</v>
      </c>
      <c r="AA6" s="41" t="s">
        <v>37</v>
      </c>
      <c r="AB6" s="41" t="s">
        <v>271</v>
      </c>
      <c r="AC6" s="41" t="s">
        <v>37</v>
      </c>
      <c r="AD6" s="41" t="s">
        <v>271</v>
      </c>
      <c r="AE6" s="41" t="s">
        <v>37</v>
      </c>
      <c r="AF6" s="41" t="s">
        <v>271</v>
      </c>
      <c r="AG6" s="41" t="s">
        <v>37</v>
      </c>
      <c r="AH6" s="41" t="s">
        <v>271</v>
      </c>
      <c r="AI6" s="41" t="s">
        <v>37</v>
      </c>
      <c r="AJ6" s="41" t="s">
        <v>271</v>
      </c>
      <c r="AK6" s="41" t="s">
        <v>37</v>
      </c>
      <c r="AL6" s="41" t="s">
        <v>271</v>
      </c>
      <c r="AM6" s="41" t="s">
        <v>37</v>
      </c>
      <c r="AN6" s="41" t="s">
        <v>271</v>
      </c>
      <c r="AO6" s="41" t="s">
        <v>37</v>
      </c>
      <c r="AP6" s="66" t="s">
        <v>271</v>
      </c>
    </row>
    <row r="7" spans="1:42" ht="19.95" customHeight="1" x14ac:dyDescent="0.3">
      <c r="A7" s="67">
        <v>1</v>
      </c>
      <c r="B7" s="375">
        <v>0.1361</v>
      </c>
      <c r="C7" s="42">
        <f t="shared" ref="C7:C25" si="0">ROUND(+$T$3*B7,0)</f>
        <v>5381</v>
      </c>
      <c r="D7" s="324">
        <f>+B7*0.81</f>
        <v>0.11024100000000001</v>
      </c>
      <c r="E7" s="42">
        <f t="shared" ref="E7:E25" si="1">ROUND(+$T$3*D7,0)</f>
        <v>4358</v>
      </c>
      <c r="F7" s="324">
        <f>+B7*0.72</f>
        <v>9.7991999999999996E-2</v>
      </c>
      <c r="G7" s="42">
        <f t="shared" ref="G7:G25" si="2">ROUND(+$T$3*F7,0)</f>
        <v>3874</v>
      </c>
      <c r="H7" s="324">
        <f>+B7*0.64</f>
        <v>8.7104000000000001E-2</v>
      </c>
      <c r="I7" s="42">
        <f t="shared" ref="I7:I25" si="3">ROUND(+$T$3*H7,0)</f>
        <v>3444</v>
      </c>
      <c r="J7" s="324">
        <f>+B7*0.57</f>
        <v>7.7576999999999993E-2</v>
      </c>
      <c r="K7" s="42">
        <f t="shared" ref="K7:K25" si="4">ROUND(+$T$3*J7,0)</f>
        <v>3067</v>
      </c>
      <c r="L7" s="324">
        <f>+B7*0.49</f>
        <v>6.6688999999999998E-2</v>
      </c>
      <c r="M7" s="42">
        <f t="shared" ref="M7:M25" si="5">ROUND(+$T$3*L7,0)</f>
        <v>2637</v>
      </c>
      <c r="N7" s="324">
        <f>+B7*0.45</f>
        <v>6.1245000000000001E-2</v>
      </c>
      <c r="O7" s="42">
        <f t="shared" ref="O7:O25" si="6">ROUND(+$T$3*N7,0)</f>
        <v>2421</v>
      </c>
      <c r="P7" s="324">
        <f>+B7*0.4</f>
        <v>5.4440000000000002E-2</v>
      </c>
      <c r="Q7" s="42">
        <f t="shared" ref="Q7:Q25" si="7">ROUND(+$T$3*P7,0)</f>
        <v>2152</v>
      </c>
      <c r="R7" s="324">
        <f>+B7*0.27</f>
        <v>3.6747000000000002E-2</v>
      </c>
      <c r="S7" s="42">
        <f t="shared" ref="S7:S25" si="8">ROUND(+$T$3*R7,0)</f>
        <v>1453</v>
      </c>
      <c r="T7" s="324">
        <f>+B7*0.19</f>
        <v>2.5859E-2</v>
      </c>
      <c r="U7" s="68">
        <f t="shared" ref="U7:U25" si="9">ROUND(+$T$3*T7,0)</f>
        <v>1022</v>
      </c>
      <c r="W7" s="334">
        <f>+C7-'[2]HS - Lane and Step Schedule'!C7</f>
        <v>-416</v>
      </c>
      <c r="X7" s="333">
        <f>+W7/'[2]HS - Lane and Step Schedule'!C7</f>
        <v>-7.1761255821976885E-2</v>
      </c>
      <c r="Y7" s="332">
        <f>+E7-'[2]HS - Lane and Step Schedule'!E7</f>
        <v>434</v>
      </c>
      <c r="Z7" s="333">
        <f>+Y7/'[2]HS - Lane and Step Schedule'!E7</f>
        <v>0.11060142711518858</v>
      </c>
      <c r="AA7" s="332">
        <f>+G7-'[2]HS - Lane and Step Schedule'!G7</f>
        <v>325</v>
      </c>
      <c r="AB7" s="333">
        <f>+AA7/'[2]HS - Lane and Step Schedule'!G7</f>
        <v>9.1575091575091569E-2</v>
      </c>
      <c r="AC7" s="332">
        <f>+I7-'[2]HS - Lane and Step Schedule'!I7</f>
        <v>270</v>
      </c>
      <c r="AD7" s="333">
        <f>+AC7/'[2]HS - Lane and Step Schedule'!I7</f>
        <v>8.5066162570888462E-2</v>
      </c>
      <c r="AE7" s="332">
        <f>+K7-'[2]HS - Lane and Step Schedule'!K7</f>
        <v>268</v>
      </c>
      <c r="AF7" s="333">
        <f>+AE7/'[2]HS - Lane and Step Schedule'!K7</f>
        <v>9.574848160057163E-2</v>
      </c>
      <c r="AG7" s="332">
        <f>+M7-'[2]HS - Lane and Step Schedule'!M7</f>
        <v>212</v>
      </c>
      <c r="AH7" s="333">
        <f>+AG7/'[2]HS - Lane and Step Schedule'!M7</f>
        <v>8.742268041237114E-2</v>
      </c>
      <c r="AI7" s="332">
        <f>+O7-'[2]HS - Lane and Step Schedule'!O7</f>
        <v>221</v>
      </c>
      <c r="AJ7" s="333">
        <f>+AI7/'[2]HS - Lane and Step Schedule'!O7</f>
        <v>0.10045454545454545</v>
      </c>
      <c r="AK7" s="332">
        <f>+Q7-'[2]HS - Lane and Step Schedule'!Q7</f>
        <v>177</v>
      </c>
      <c r="AL7" s="333">
        <f>+AK7/'[2]HS - Lane and Step Schedule'!Q7</f>
        <v>8.9620253164556962E-2</v>
      </c>
      <c r="AM7" s="332">
        <f>+S7-'[2]HS - Lane and Step Schedule'!S7</f>
        <v>153</v>
      </c>
      <c r="AN7" s="333">
        <f>+AM7/'[2]HS - Lane and Step Schedule'!S7</f>
        <v>0.11769230769230769</v>
      </c>
      <c r="AO7" s="332">
        <f>+U7-'[2]HS - Lane and Step Schedule'!U7</f>
        <v>96</v>
      </c>
      <c r="AP7" s="335">
        <f>+AO7/'[2]HS - Lane and Step Schedule'!U7</f>
        <v>0.10367170626349892</v>
      </c>
    </row>
    <row r="8" spans="1:42" ht="19.95" customHeight="1" x14ac:dyDescent="0.3">
      <c r="A8" s="67">
        <v>2</v>
      </c>
      <c r="B8" s="325">
        <f>+B7</f>
        <v>0.1361</v>
      </c>
      <c r="C8" s="42">
        <f t="shared" si="0"/>
        <v>5381</v>
      </c>
      <c r="D8" s="325">
        <f>+D7</f>
        <v>0.11024100000000001</v>
      </c>
      <c r="E8" s="42">
        <f t="shared" si="1"/>
        <v>4358</v>
      </c>
      <c r="F8" s="325">
        <f>+F7</f>
        <v>9.7991999999999996E-2</v>
      </c>
      <c r="G8" s="42">
        <f t="shared" si="2"/>
        <v>3874</v>
      </c>
      <c r="H8" s="325">
        <f>+H7</f>
        <v>8.7104000000000001E-2</v>
      </c>
      <c r="I8" s="42">
        <f t="shared" si="3"/>
        <v>3444</v>
      </c>
      <c r="J8" s="325">
        <f>+J7</f>
        <v>7.7576999999999993E-2</v>
      </c>
      <c r="K8" s="42">
        <f t="shared" si="4"/>
        <v>3067</v>
      </c>
      <c r="L8" s="325">
        <f>+L7</f>
        <v>6.6688999999999998E-2</v>
      </c>
      <c r="M8" s="42">
        <f t="shared" si="5"/>
        <v>2637</v>
      </c>
      <c r="N8" s="325">
        <f>+N7</f>
        <v>6.1245000000000001E-2</v>
      </c>
      <c r="O8" s="42">
        <f t="shared" si="6"/>
        <v>2421</v>
      </c>
      <c r="P8" s="325">
        <f>+P7</f>
        <v>5.4440000000000002E-2</v>
      </c>
      <c r="Q8" s="42">
        <f t="shared" si="7"/>
        <v>2152</v>
      </c>
      <c r="R8" s="325">
        <f>+R7</f>
        <v>3.6747000000000002E-2</v>
      </c>
      <c r="S8" s="42">
        <f t="shared" si="8"/>
        <v>1453</v>
      </c>
      <c r="T8" s="325">
        <f>+T7</f>
        <v>2.5859E-2</v>
      </c>
      <c r="U8" s="68">
        <f t="shared" si="9"/>
        <v>1022</v>
      </c>
      <c r="W8" s="334">
        <f>+C8-'[2]HS - Lane and Step Schedule'!C8</f>
        <v>-416</v>
      </c>
      <c r="X8" s="333">
        <f>+W8/'[2]HS - Lane and Step Schedule'!C8</f>
        <v>-7.1761255821976885E-2</v>
      </c>
      <c r="Y8" s="332">
        <f>+E8-'[2]HS - Lane and Step Schedule'!E8</f>
        <v>434</v>
      </c>
      <c r="Z8" s="333">
        <f>+Y8/'[2]HS - Lane and Step Schedule'!E8</f>
        <v>0.11060142711518858</v>
      </c>
      <c r="AA8" s="332">
        <f>+G8-'[2]HS - Lane and Step Schedule'!G8</f>
        <v>325</v>
      </c>
      <c r="AB8" s="333">
        <f>+AA8/'[2]HS - Lane and Step Schedule'!G8</f>
        <v>9.1575091575091569E-2</v>
      </c>
      <c r="AC8" s="332">
        <f>+I8-'[2]HS - Lane and Step Schedule'!I8</f>
        <v>270</v>
      </c>
      <c r="AD8" s="333">
        <f>+AC8/'[2]HS - Lane and Step Schedule'!I8</f>
        <v>8.5066162570888462E-2</v>
      </c>
      <c r="AE8" s="332">
        <f>+K8-'[2]HS - Lane and Step Schedule'!K8</f>
        <v>268</v>
      </c>
      <c r="AF8" s="333">
        <f>+AE8/'[2]HS - Lane and Step Schedule'!K8</f>
        <v>9.574848160057163E-2</v>
      </c>
      <c r="AG8" s="332">
        <f>+M8-'[2]HS - Lane and Step Schedule'!M8</f>
        <v>212</v>
      </c>
      <c r="AH8" s="333">
        <f>+AG8/'[2]HS - Lane and Step Schedule'!M8</f>
        <v>8.742268041237114E-2</v>
      </c>
      <c r="AI8" s="332">
        <f>+O8-'[2]HS - Lane and Step Schedule'!O8</f>
        <v>221</v>
      </c>
      <c r="AJ8" s="333">
        <f>+AI8/'[2]HS - Lane and Step Schedule'!O8</f>
        <v>0.10045454545454545</v>
      </c>
      <c r="AK8" s="332">
        <f>+Q8-'[2]HS - Lane and Step Schedule'!Q8</f>
        <v>177</v>
      </c>
      <c r="AL8" s="333">
        <f>+AK8/'[2]HS - Lane and Step Schedule'!Q8</f>
        <v>8.9620253164556962E-2</v>
      </c>
      <c r="AM8" s="332">
        <f>+S8-'[2]HS - Lane and Step Schedule'!S8</f>
        <v>153</v>
      </c>
      <c r="AN8" s="333">
        <f>+AM8/'[2]HS - Lane and Step Schedule'!S8</f>
        <v>0.11769230769230769</v>
      </c>
      <c r="AO8" s="332">
        <f>+U8-'[2]HS - Lane and Step Schedule'!U8</f>
        <v>96</v>
      </c>
      <c r="AP8" s="335">
        <f>+AO8/'[2]HS - Lane and Step Schedule'!U8</f>
        <v>0.10367170626349892</v>
      </c>
    </row>
    <row r="9" spans="1:42" ht="19.95" customHeight="1" x14ac:dyDescent="0.3">
      <c r="A9" s="67">
        <v>3</v>
      </c>
      <c r="B9" s="325">
        <f>+B8</f>
        <v>0.1361</v>
      </c>
      <c r="C9" s="42">
        <f t="shared" si="0"/>
        <v>5381</v>
      </c>
      <c r="D9" s="325">
        <f>+D8</f>
        <v>0.11024100000000001</v>
      </c>
      <c r="E9" s="42">
        <f t="shared" si="1"/>
        <v>4358</v>
      </c>
      <c r="F9" s="325">
        <f>+F8</f>
        <v>9.7991999999999996E-2</v>
      </c>
      <c r="G9" s="42">
        <f t="shared" si="2"/>
        <v>3874</v>
      </c>
      <c r="H9" s="325">
        <f>+H8</f>
        <v>8.7104000000000001E-2</v>
      </c>
      <c r="I9" s="42">
        <f t="shared" si="3"/>
        <v>3444</v>
      </c>
      <c r="J9" s="325">
        <f>+J8</f>
        <v>7.7576999999999993E-2</v>
      </c>
      <c r="K9" s="42">
        <f t="shared" si="4"/>
        <v>3067</v>
      </c>
      <c r="L9" s="325">
        <f>+L8</f>
        <v>6.6688999999999998E-2</v>
      </c>
      <c r="M9" s="42">
        <f t="shared" si="5"/>
        <v>2637</v>
      </c>
      <c r="N9" s="325">
        <f>+N8</f>
        <v>6.1245000000000001E-2</v>
      </c>
      <c r="O9" s="42">
        <f t="shared" si="6"/>
        <v>2421</v>
      </c>
      <c r="P9" s="325">
        <f>+P8</f>
        <v>5.4440000000000002E-2</v>
      </c>
      <c r="Q9" s="42">
        <f t="shared" si="7"/>
        <v>2152</v>
      </c>
      <c r="R9" s="325">
        <f>+R8</f>
        <v>3.6747000000000002E-2</v>
      </c>
      <c r="S9" s="42">
        <f t="shared" si="8"/>
        <v>1453</v>
      </c>
      <c r="T9" s="325">
        <f>+T8</f>
        <v>2.5859E-2</v>
      </c>
      <c r="U9" s="68">
        <f t="shared" si="9"/>
        <v>1022</v>
      </c>
      <c r="W9" s="334">
        <f>+C9-'[2]HS - Lane and Step Schedule'!C9</f>
        <v>-416</v>
      </c>
      <c r="X9" s="333">
        <f>+W9/'[2]HS - Lane and Step Schedule'!C9</f>
        <v>-7.1761255821976885E-2</v>
      </c>
      <c r="Y9" s="332">
        <f>+E9-'[2]HS - Lane and Step Schedule'!E9</f>
        <v>434</v>
      </c>
      <c r="Z9" s="333">
        <f>+Y9/'[2]HS - Lane and Step Schedule'!E9</f>
        <v>0.11060142711518858</v>
      </c>
      <c r="AA9" s="332">
        <f>+G9-'[2]HS - Lane and Step Schedule'!G9</f>
        <v>325</v>
      </c>
      <c r="AB9" s="333">
        <f>+AA9/'[2]HS - Lane and Step Schedule'!G9</f>
        <v>9.1575091575091569E-2</v>
      </c>
      <c r="AC9" s="332">
        <f>+I9-'[2]HS - Lane and Step Schedule'!I9</f>
        <v>270</v>
      </c>
      <c r="AD9" s="333">
        <f>+AC9/'[2]HS - Lane and Step Schedule'!I9</f>
        <v>8.5066162570888462E-2</v>
      </c>
      <c r="AE9" s="332">
        <f>+K9-'[2]HS - Lane and Step Schedule'!K9</f>
        <v>268</v>
      </c>
      <c r="AF9" s="333">
        <f>+AE9/'[2]HS - Lane and Step Schedule'!K9</f>
        <v>9.574848160057163E-2</v>
      </c>
      <c r="AG9" s="332">
        <f>+M9-'[2]HS - Lane and Step Schedule'!M9</f>
        <v>212</v>
      </c>
      <c r="AH9" s="333">
        <f>+AG9/'[2]HS - Lane and Step Schedule'!M9</f>
        <v>8.742268041237114E-2</v>
      </c>
      <c r="AI9" s="332">
        <f>+O9-'[2]HS - Lane and Step Schedule'!O9</f>
        <v>221</v>
      </c>
      <c r="AJ9" s="333">
        <f>+AI9/'[2]HS - Lane and Step Schedule'!O9</f>
        <v>0.10045454545454545</v>
      </c>
      <c r="AK9" s="332">
        <f>+Q9-'[2]HS - Lane and Step Schedule'!Q9</f>
        <v>177</v>
      </c>
      <c r="AL9" s="333">
        <f>+AK9/'[2]HS - Lane and Step Schedule'!Q9</f>
        <v>8.9620253164556962E-2</v>
      </c>
      <c r="AM9" s="332">
        <f>+S9-'[2]HS - Lane and Step Schedule'!S9</f>
        <v>153</v>
      </c>
      <c r="AN9" s="333">
        <f>+AM9/'[2]HS - Lane and Step Schedule'!S9</f>
        <v>0.11769230769230769</v>
      </c>
      <c r="AO9" s="332">
        <f>+U9-'[2]HS - Lane and Step Schedule'!U9</f>
        <v>96</v>
      </c>
      <c r="AP9" s="335">
        <f>+AO9/'[2]HS - Lane and Step Schedule'!U9</f>
        <v>0.10367170626349892</v>
      </c>
    </row>
    <row r="10" spans="1:42" ht="19.95" customHeight="1" x14ac:dyDescent="0.3">
      <c r="A10" s="67">
        <v>4</v>
      </c>
      <c r="B10" s="325">
        <f>+B9*1.05</f>
        <v>0.142905</v>
      </c>
      <c r="C10" s="42">
        <f t="shared" si="0"/>
        <v>5650</v>
      </c>
      <c r="D10" s="325">
        <f>+D9*1.05</f>
        <v>0.11575305000000001</v>
      </c>
      <c r="E10" s="42">
        <f t="shared" si="1"/>
        <v>4576</v>
      </c>
      <c r="F10" s="325">
        <f>+F9*1.05</f>
        <v>0.1028916</v>
      </c>
      <c r="G10" s="42">
        <f t="shared" si="2"/>
        <v>4068</v>
      </c>
      <c r="H10" s="325">
        <f>+H9*1.05</f>
        <v>9.1459200000000004E-2</v>
      </c>
      <c r="I10" s="42">
        <f t="shared" si="3"/>
        <v>3616</v>
      </c>
      <c r="J10" s="325">
        <f>+J9*1.05</f>
        <v>8.1455849999999996E-2</v>
      </c>
      <c r="K10" s="42">
        <f t="shared" si="4"/>
        <v>3220</v>
      </c>
      <c r="L10" s="325">
        <f>+L9*1.05</f>
        <v>7.0023450000000001E-2</v>
      </c>
      <c r="M10" s="42">
        <f t="shared" si="5"/>
        <v>2768</v>
      </c>
      <c r="N10" s="325">
        <f>+N9*1.05</f>
        <v>6.430725000000001E-2</v>
      </c>
      <c r="O10" s="42">
        <f t="shared" si="6"/>
        <v>2542</v>
      </c>
      <c r="P10" s="325">
        <f>+P9*1.05</f>
        <v>5.7162000000000004E-2</v>
      </c>
      <c r="Q10" s="42">
        <f t="shared" si="7"/>
        <v>2260</v>
      </c>
      <c r="R10" s="325">
        <f>+R9*1.05</f>
        <v>3.8584350000000003E-2</v>
      </c>
      <c r="S10" s="42">
        <f t="shared" si="8"/>
        <v>1525</v>
      </c>
      <c r="T10" s="325">
        <f>+T9*1.05</f>
        <v>2.7151950000000001E-2</v>
      </c>
      <c r="U10" s="68">
        <f t="shared" si="9"/>
        <v>1073</v>
      </c>
      <c r="W10" s="334">
        <f>+C10-'[2]HS - Lane and Step Schedule'!C10</f>
        <v>-437</v>
      </c>
      <c r="X10" s="333">
        <f>+W10/'[2]HS - Lane and Step Schedule'!C10</f>
        <v>-7.1792344340397565E-2</v>
      </c>
      <c r="Y10" s="332">
        <f>+E10-'[2]HS - Lane and Step Schedule'!E10</f>
        <v>456</v>
      </c>
      <c r="Z10" s="333">
        <f>+Y10/'[2]HS - Lane and Step Schedule'!E10</f>
        <v>0.11067961165048544</v>
      </c>
      <c r="AA10" s="332">
        <f>+G10-'[2]HS - Lane and Step Schedule'!G10</f>
        <v>342</v>
      </c>
      <c r="AB10" s="333">
        <f>+AA10/'[2]HS - Lane and Step Schedule'!G10</f>
        <v>9.1787439613526575E-2</v>
      </c>
      <c r="AC10" s="332">
        <f>+I10-'[2]HS - Lane and Step Schedule'!I10</f>
        <v>283</v>
      </c>
      <c r="AD10" s="333">
        <f>+AC10/'[2]HS - Lane and Step Schedule'!I10</f>
        <v>8.4908490849084903E-2</v>
      </c>
      <c r="AE10" s="332">
        <f>+K10-'[2]HS - Lane and Step Schedule'!K10</f>
        <v>281</v>
      </c>
      <c r="AF10" s="333">
        <f>+AE10/'[2]HS - Lane and Step Schedule'!K10</f>
        <v>9.5610751956447776E-2</v>
      </c>
      <c r="AG10" s="332">
        <f>+M10-'[2]HS - Lane and Step Schedule'!M10</f>
        <v>222</v>
      </c>
      <c r="AH10" s="333">
        <f>+AG10/'[2]HS - Lane and Step Schedule'!M10</f>
        <v>8.7195600942655146E-2</v>
      </c>
      <c r="AI10" s="332">
        <f>+O10-'[2]HS - Lane and Step Schedule'!O10</f>
        <v>232</v>
      </c>
      <c r="AJ10" s="333">
        <f>+AI10/'[2]HS - Lane and Step Schedule'!O10</f>
        <v>0.10043290043290043</v>
      </c>
      <c r="AK10" s="332">
        <f>+Q10-'[2]HS - Lane and Step Schedule'!Q10</f>
        <v>186</v>
      </c>
      <c r="AL10" s="333">
        <f>+AK10/'[2]HS - Lane and Step Schedule'!Q10</f>
        <v>8.9681774349083893E-2</v>
      </c>
      <c r="AM10" s="332">
        <f>+S10-'[2]HS - Lane and Step Schedule'!S10</f>
        <v>160</v>
      </c>
      <c r="AN10" s="333">
        <f>+AM10/'[2]HS - Lane and Step Schedule'!S10</f>
        <v>0.11721611721611722</v>
      </c>
      <c r="AO10" s="332">
        <f>+U10-'[2]HS - Lane and Step Schedule'!U10</f>
        <v>101</v>
      </c>
      <c r="AP10" s="335">
        <f>+AO10/'[2]HS - Lane and Step Schedule'!U10</f>
        <v>0.10390946502057613</v>
      </c>
    </row>
    <row r="11" spans="1:42" ht="19.95" customHeight="1" x14ac:dyDescent="0.3">
      <c r="A11" s="67">
        <v>5</v>
      </c>
      <c r="B11" s="325">
        <f>+B10</f>
        <v>0.142905</v>
      </c>
      <c r="C11" s="42">
        <f t="shared" si="0"/>
        <v>5650</v>
      </c>
      <c r="D11" s="325">
        <f>+D10</f>
        <v>0.11575305000000001</v>
      </c>
      <c r="E11" s="42">
        <f t="shared" si="1"/>
        <v>4576</v>
      </c>
      <c r="F11" s="325">
        <f>+F10</f>
        <v>0.1028916</v>
      </c>
      <c r="G11" s="42">
        <f t="shared" si="2"/>
        <v>4068</v>
      </c>
      <c r="H11" s="325">
        <f>+H10</f>
        <v>9.1459200000000004E-2</v>
      </c>
      <c r="I11" s="42">
        <f t="shared" si="3"/>
        <v>3616</v>
      </c>
      <c r="J11" s="325">
        <f>+J10</f>
        <v>8.1455849999999996E-2</v>
      </c>
      <c r="K11" s="42">
        <f t="shared" si="4"/>
        <v>3220</v>
      </c>
      <c r="L11" s="325">
        <f>+L10</f>
        <v>7.0023450000000001E-2</v>
      </c>
      <c r="M11" s="42">
        <f t="shared" si="5"/>
        <v>2768</v>
      </c>
      <c r="N11" s="325">
        <f>+N10</f>
        <v>6.430725000000001E-2</v>
      </c>
      <c r="O11" s="42">
        <f t="shared" si="6"/>
        <v>2542</v>
      </c>
      <c r="P11" s="325">
        <f>+P10</f>
        <v>5.7162000000000004E-2</v>
      </c>
      <c r="Q11" s="42">
        <f t="shared" si="7"/>
        <v>2260</v>
      </c>
      <c r="R11" s="325">
        <f>+R10</f>
        <v>3.8584350000000003E-2</v>
      </c>
      <c r="S11" s="42">
        <f t="shared" si="8"/>
        <v>1525</v>
      </c>
      <c r="T11" s="325">
        <f>+T10</f>
        <v>2.7151950000000001E-2</v>
      </c>
      <c r="U11" s="68">
        <f t="shared" si="9"/>
        <v>1073</v>
      </c>
      <c r="W11" s="334">
        <f>+C11-'[2]HS - Lane and Step Schedule'!C11</f>
        <v>-437</v>
      </c>
      <c r="X11" s="333">
        <f>+W11/'[2]HS - Lane and Step Schedule'!C11</f>
        <v>-7.1792344340397565E-2</v>
      </c>
      <c r="Y11" s="332">
        <f>+E11-'[2]HS - Lane and Step Schedule'!E11</f>
        <v>456</v>
      </c>
      <c r="Z11" s="333">
        <f>+Y11/'[2]HS - Lane and Step Schedule'!E11</f>
        <v>0.11067961165048544</v>
      </c>
      <c r="AA11" s="332">
        <f>+G11-'[2]HS - Lane and Step Schedule'!G11</f>
        <v>342</v>
      </c>
      <c r="AB11" s="333">
        <f>+AA11/'[2]HS - Lane and Step Schedule'!G11</f>
        <v>9.1787439613526575E-2</v>
      </c>
      <c r="AC11" s="332">
        <f>+I11-'[2]HS - Lane and Step Schedule'!I11</f>
        <v>283</v>
      </c>
      <c r="AD11" s="333">
        <f>+AC11/'[2]HS - Lane and Step Schedule'!I11</f>
        <v>8.4908490849084903E-2</v>
      </c>
      <c r="AE11" s="332">
        <f>+K11-'[2]HS - Lane and Step Schedule'!K11</f>
        <v>281</v>
      </c>
      <c r="AF11" s="333">
        <f>+AE11/'[2]HS - Lane and Step Schedule'!K11</f>
        <v>9.5610751956447776E-2</v>
      </c>
      <c r="AG11" s="332">
        <f>+M11-'[2]HS - Lane and Step Schedule'!M11</f>
        <v>222</v>
      </c>
      <c r="AH11" s="333">
        <f>+AG11/'[2]HS - Lane and Step Schedule'!M11</f>
        <v>8.7195600942655146E-2</v>
      </c>
      <c r="AI11" s="332">
        <f>+O11-'[2]HS - Lane and Step Schedule'!O11</f>
        <v>232</v>
      </c>
      <c r="AJ11" s="333">
        <f>+AI11/'[2]HS - Lane and Step Schedule'!O11</f>
        <v>0.10043290043290043</v>
      </c>
      <c r="AK11" s="332">
        <f>+Q11-'[2]HS - Lane and Step Schedule'!Q11</f>
        <v>186</v>
      </c>
      <c r="AL11" s="333">
        <f>+AK11/'[2]HS - Lane and Step Schedule'!Q11</f>
        <v>8.9681774349083893E-2</v>
      </c>
      <c r="AM11" s="332">
        <f>+S11-'[2]HS - Lane and Step Schedule'!S11</f>
        <v>160</v>
      </c>
      <c r="AN11" s="333">
        <f>+AM11/'[2]HS - Lane and Step Schedule'!S11</f>
        <v>0.11721611721611722</v>
      </c>
      <c r="AO11" s="332">
        <f>+U11-'[2]HS - Lane and Step Schedule'!U11</f>
        <v>101</v>
      </c>
      <c r="AP11" s="335">
        <f>+AO11/'[2]HS - Lane and Step Schedule'!U11</f>
        <v>0.10390946502057613</v>
      </c>
    </row>
    <row r="12" spans="1:42" ht="19.95" customHeight="1" x14ac:dyDescent="0.3">
      <c r="A12" s="67">
        <v>6</v>
      </c>
      <c r="B12" s="325">
        <f>+B11</f>
        <v>0.142905</v>
      </c>
      <c r="C12" s="42">
        <f t="shared" si="0"/>
        <v>5650</v>
      </c>
      <c r="D12" s="325">
        <f>+D11</f>
        <v>0.11575305000000001</v>
      </c>
      <c r="E12" s="42">
        <f t="shared" si="1"/>
        <v>4576</v>
      </c>
      <c r="F12" s="325">
        <f>+F11</f>
        <v>0.1028916</v>
      </c>
      <c r="G12" s="42">
        <f t="shared" si="2"/>
        <v>4068</v>
      </c>
      <c r="H12" s="325">
        <f>+H11</f>
        <v>9.1459200000000004E-2</v>
      </c>
      <c r="I12" s="42">
        <f t="shared" si="3"/>
        <v>3616</v>
      </c>
      <c r="J12" s="325">
        <f>+J11</f>
        <v>8.1455849999999996E-2</v>
      </c>
      <c r="K12" s="42">
        <f t="shared" si="4"/>
        <v>3220</v>
      </c>
      <c r="L12" s="325">
        <f>+L11</f>
        <v>7.0023450000000001E-2</v>
      </c>
      <c r="M12" s="42">
        <f t="shared" si="5"/>
        <v>2768</v>
      </c>
      <c r="N12" s="325">
        <f>+N11</f>
        <v>6.430725000000001E-2</v>
      </c>
      <c r="O12" s="42">
        <f t="shared" si="6"/>
        <v>2542</v>
      </c>
      <c r="P12" s="325">
        <f>+P11</f>
        <v>5.7162000000000004E-2</v>
      </c>
      <c r="Q12" s="42">
        <f t="shared" si="7"/>
        <v>2260</v>
      </c>
      <c r="R12" s="325">
        <f>+R11</f>
        <v>3.8584350000000003E-2</v>
      </c>
      <c r="S12" s="42">
        <f t="shared" si="8"/>
        <v>1525</v>
      </c>
      <c r="T12" s="325">
        <f>+T11</f>
        <v>2.7151950000000001E-2</v>
      </c>
      <c r="U12" s="68">
        <f t="shared" si="9"/>
        <v>1073</v>
      </c>
      <c r="W12" s="334">
        <f>+C12-'[2]HS - Lane and Step Schedule'!C12</f>
        <v>-437</v>
      </c>
      <c r="X12" s="333">
        <f>+W12/'[2]HS - Lane and Step Schedule'!C12</f>
        <v>-7.1792344340397565E-2</v>
      </c>
      <c r="Y12" s="332">
        <f>+E12-'[2]HS - Lane and Step Schedule'!E12</f>
        <v>456</v>
      </c>
      <c r="Z12" s="333">
        <f>+Y12/'[2]HS - Lane and Step Schedule'!E12</f>
        <v>0.11067961165048544</v>
      </c>
      <c r="AA12" s="332">
        <f>+G12-'[2]HS - Lane and Step Schedule'!G12</f>
        <v>342</v>
      </c>
      <c r="AB12" s="333">
        <f>+AA12/'[2]HS - Lane and Step Schedule'!G12</f>
        <v>9.1787439613526575E-2</v>
      </c>
      <c r="AC12" s="332">
        <f>+I12-'[2]HS - Lane and Step Schedule'!I12</f>
        <v>283</v>
      </c>
      <c r="AD12" s="333">
        <f>+AC12/'[2]HS - Lane and Step Schedule'!I12</f>
        <v>8.4908490849084903E-2</v>
      </c>
      <c r="AE12" s="332">
        <f>+K12-'[2]HS - Lane and Step Schedule'!K12</f>
        <v>281</v>
      </c>
      <c r="AF12" s="333">
        <f>+AE12/'[2]HS - Lane and Step Schedule'!K12</f>
        <v>9.5610751956447776E-2</v>
      </c>
      <c r="AG12" s="332">
        <f>+M12-'[2]HS - Lane and Step Schedule'!M12</f>
        <v>222</v>
      </c>
      <c r="AH12" s="333">
        <f>+AG12/'[2]HS - Lane and Step Schedule'!M12</f>
        <v>8.7195600942655146E-2</v>
      </c>
      <c r="AI12" s="332">
        <f>+O12-'[2]HS - Lane and Step Schedule'!O12</f>
        <v>232</v>
      </c>
      <c r="AJ12" s="333">
        <f>+AI12/'[2]HS - Lane and Step Schedule'!O12</f>
        <v>0.10043290043290043</v>
      </c>
      <c r="AK12" s="332">
        <f>+Q12-'[2]HS - Lane and Step Schedule'!Q12</f>
        <v>186</v>
      </c>
      <c r="AL12" s="333">
        <f>+AK12/'[2]HS - Lane and Step Schedule'!Q12</f>
        <v>8.9681774349083893E-2</v>
      </c>
      <c r="AM12" s="332">
        <f>+S12-'[2]HS - Lane and Step Schedule'!S12</f>
        <v>160</v>
      </c>
      <c r="AN12" s="333">
        <f>+AM12/'[2]HS - Lane and Step Schedule'!S12</f>
        <v>0.11721611721611722</v>
      </c>
      <c r="AO12" s="332">
        <f>+U12-'[2]HS - Lane and Step Schedule'!U12</f>
        <v>101</v>
      </c>
      <c r="AP12" s="335">
        <f>+AO12/'[2]HS - Lane and Step Schedule'!U12</f>
        <v>0.10390946502057613</v>
      </c>
    </row>
    <row r="13" spans="1:42" ht="19.95" customHeight="1" x14ac:dyDescent="0.3">
      <c r="A13" s="67">
        <v>7</v>
      </c>
      <c r="B13" s="325">
        <f>+B12*1.05</f>
        <v>0.15005025000000002</v>
      </c>
      <c r="C13" s="42">
        <f t="shared" si="0"/>
        <v>5932</v>
      </c>
      <c r="D13" s="325">
        <f>+D12*1.05</f>
        <v>0.12154070250000001</v>
      </c>
      <c r="E13" s="42">
        <f t="shared" si="1"/>
        <v>4805</v>
      </c>
      <c r="F13" s="325">
        <f>+F12*1.05</f>
        <v>0.10803618000000001</v>
      </c>
      <c r="G13" s="42">
        <f t="shared" si="2"/>
        <v>4271</v>
      </c>
      <c r="H13" s="325">
        <f>+H12*1.05</f>
        <v>9.6032160000000005E-2</v>
      </c>
      <c r="I13" s="42">
        <f t="shared" si="3"/>
        <v>3797</v>
      </c>
      <c r="J13" s="325">
        <f>+J12*1.05</f>
        <v>8.5528642500000002E-2</v>
      </c>
      <c r="K13" s="42">
        <f t="shared" si="4"/>
        <v>3381</v>
      </c>
      <c r="L13" s="325">
        <f>+L12*1.05</f>
        <v>7.3524622499999998E-2</v>
      </c>
      <c r="M13" s="42">
        <f t="shared" si="5"/>
        <v>2907</v>
      </c>
      <c r="N13" s="325">
        <f>+N12*1.05</f>
        <v>6.7522612500000009E-2</v>
      </c>
      <c r="O13" s="42">
        <f t="shared" si="6"/>
        <v>2670</v>
      </c>
      <c r="P13" s="325">
        <f>+P12*1.05</f>
        <v>6.0020100000000007E-2</v>
      </c>
      <c r="Q13" s="42">
        <f t="shared" si="7"/>
        <v>2373</v>
      </c>
      <c r="R13" s="325">
        <f>+R12*1.05</f>
        <v>4.0513567500000007E-2</v>
      </c>
      <c r="S13" s="42">
        <f t="shared" si="8"/>
        <v>1602</v>
      </c>
      <c r="T13" s="325">
        <f>+T12*1.05</f>
        <v>2.8509547500000003E-2</v>
      </c>
      <c r="U13" s="68">
        <f t="shared" si="9"/>
        <v>1127</v>
      </c>
      <c r="W13" s="334">
        <f>+C13-'[2]HS - Lane and Step Schedule'!C13</f>
        <v>-459</v>
      </c>
      <c r="X13" s="333">
        <f>+W13/'[2]HS - Lane and Step Schedule'!C13</f>
        <v>-7.1819746518541699E-2</v>
      </c>
      <c r="Y13" s="332">
        <f>+E13-'[2]HS - Lane and Step Schedule'!E13</f>
        <v>479</v>
      </c>
      <c r="Z13" s="333">
        <f>+Y13/'[2]HS - Lane and Step Schedule'!E13</f>
        <v>0.11072584373555247</v>
      </c>
      <c r="AA13" s="332">
        <f>+G13-'[2]HS - Lane and Step Schedule'!G13</f>
        <v>358</v>
      </c>
      <c r="AB13" s="333">
        <f>+AA13/'[2]HS - Lane and Step Schedule'!G13</f>
        <v>9.1489905443393818E-2</v>
      </c>
      <c r="AC13" s="332">
        <f>+I13-'[2]HS - Lane and Step Schedule'!I13</f>
        <v>298</v>
      </c>
      <c r="AD13" s="333">
        <f>+AC13/'[2]HS - Lane and Step Schedule'!I13</f>
        <v>8.5167190625893119E-2</v>
      </c>
      <c r="AE13" s="332">
        <f>+K13-'[2]HS - Lane and Step Schedule'!K13</f>
        <v>295</v>
      </c>
      <c r="AF13" s="333">
        <f>+AE13/'[2]HS - Lane and Step Schedule'!K13</f>
        <v>9.5593000648088136E-2</v>
      </c>
      <c r="AG13" s="332">
        <f>+M13-'[2]HS - Lane and Step Schedule'!M13</f>
        <v>234</v>
      </c>
      <c r="AH13" s="333">
        <f>+AG13/'[2]HS - Lane and Step Schedule'!M13</f>
        <v>8.7542087542087546E-2</v>
      </c>
      <c r="AI13" s="332">
        <f>+O13-'[2]HS - Lane and Step Schedule'!O13</f>
        <v>245</v>
      </c>
      <c r="AJ13" s="333">
        <f>+AI13/'[2]HS - Lane and Step Schedule'!O13</f>
        <v>0.10103092783505155</v>
      </c>
      <c r="AK13" s="332">
        <f>+Q13-'[2]HS - Lane and Step Schedule'!Q13</f>
        <v>196</v>
      </c>
      <c r="AL13" s="333">
        <f>+AK13/'[2]HS - Lane and Step Schedule'!Q13</f>
        <v>9.0032154340836015E-2</v>
      </c>
      <c r="AM13" s="332">
        <f>+S13-'[2]HS - Lane and Step Schedule'!S13</f>
        <v>168</v>
      </c>
      <c r="AN13" s="333">
        <f>+AM13/'[2]HS - Lane and Step Schedule'!S13</f>
        <v>0.11715481171548117</v>
      </c>
      <c r="AO13" s="332">
        <f>+U13-'[2]HS - Lane and Step Schedule'!U13</f>
        <v>107</v>
      </c>
      <c r="AP13" s="335">
        <f>+AO13/'[2]HS - Lane and Step Schedule'!U13</f>
        <v>0.10490196078431373</v>
      </c>
    </row>
    <row r="14" spans="1:42" ht="19.95" customHeight="1" x14ac:dyDescent="0.3">
      <c r="A14" s="67">
        <v>8</v>
      </c>
      <c r="B14" s="325">
        <f>+B13</f>
        <v>0.15005025000000002</v>
      </c>
      <c r="C14" s="42">
        <f t="shared" si="0"/>
        <v>5932</v>
      </c>
      <c r="D14" s="325">
        <f>+D13</f>
        <v>0.12154070250000001</v>
      </c>
      <c r="E14" s="42">
        <f t="shared" si="1"/>
        <v>4805</v>
      </c>
      <c r="F14" s="325">
        <f>+F13</f>
        <v>0.10803618000000001</v>
      </c>
      <c r="G14" s="42">
        <f t="shared" si="2"/>
        <v>4271</v>
      </c>
      <c r="H14" s="325">
        <f>+H13</f>
        <v>9.6032160000000005E-2</v>
      </c>
      <c r="I14" s="42">
        <f t="shared" si="3"/>
        <v>3797</v>
      </c>
      <c r="J14" s="325">
        <f>+J13</f>
        <v>8.5528642500000002E-2</v>
      </c>
      <c r="K14" s="42">
        <f t="shared" si="4"/>
        <v>3381</v>
      </c>
      <c r="L14" s="325">
        <f>+L13</f>
        <v>7.3524622499999998E-2</v>
      </c>
      <c r="M14" s="42">
        <f t="shared" si="5"/>
        <v>2907</v>
      </c>
      <c r="N14" s="325">
        <f>+N13</f>
        <v>6.7522612500000009E-2</v>
      </c>
      <c r="O14" s="42">
        <f t="shared" si="6"/>
        <v>2670</v>
      </c>
      <c r="P14" s="325">
        <f>+P13</f>
        <v>6.0020100000000007E-2</v>
      </c>
      <c r="Q14" s="42">
        <f t="shared" si="7"/>
        <v>2373</v>
      </c>
      <c r="R14" s="325">
        <f>+R13</f>
        <v>4.0513567500000007E-2</v>
      </c>
      <c r="S14" s="42">
        <f t="shared" si="8"/>
        <v>1602</v>
      </c>
      <c r="T14" s="325">
        <f>+T13</f>
        <v>2.8509547500000003E-2</v>
      </c>
      <c r="U14" s="68">
        <f t="shared" si="9"/>
        <v>1127</v>
      </c>
      <c r="W14" s="334">
        <f>+C14-'[2]HS - Lane and Step Schedule'!C14</f>
        <v>-459</v>
      </c>
      <c r="X14" s="333">
        <f>+W14/'[2]HS - Lane and Step Schedule'!C14</f>
        <v>-7.1819746518541699E-2</v>
      </c>
      <c r="Y14" s="332">
        <f>+E14-'[2]HS - Lane and Step Schedule'!E14</f>
        <v>479</v>
      </c>
      <c r="Z14" s="333">
        <f>+Y14/'[2]HS - Lane and Step Schedule'!E14</f>
        <v>0.11072584373555247</v>
      </c>
      <c r="AA14" s="332">
        <f>+G14-'[2]HS - Lane and Step Schedule'!G14</f>
        <v>358</v>
      </c>
      <c r="AB14" s="333">
        <f>+AA14/'[2]HS - Lane and Step Schedule'!G14</f>
        <v>9.1489905443393818E-2</v>
      </c>
      <c r="AC14" s="332">
        <f>+I14-'[2]HS - Lane and Step Schedule'!I14</f>
        <v>298</v>
      </c>
      <c r="AD14" s="333">
        <f>+AC14/'[2]HS - Lane and Step Schedule'!I14</f>
        <v>8.5167190625893119E-2</v>
      </c>
      <c r="AE14" s="332">
        <f>+K14-'[2]HS - Lane and Step Schedule'!K14</f>
        <v>295</v>
      </c>
      <c r="AF14" s="333">
        <f>+AE14/'[2]HS - Lane and Step Schedule'!K14</f>
        <v>9.5593000648088136E-2</v>
      </c>
      <c r="AG14" s="332">
        <f>+M14-'[2]HS - Lane and Step Schedule'!M14</f>
        <v>234</v>
      </c>
      <c r="AH14" s="333">
        <f>+AG14/'[2]HS - Lane and Step Schedule'!M14</f>
        <v>8.7542087542087546E-2</v>
      </c>
      <c r="AI14" s="332">
        <f>+O14-'[2]HS - Lane and Step Schedule'!O14</f>
        <v>245</v>
      </c>
      <c r="AJ14" s="333">
        <f>+AI14/'[2]HS - Lane and Step Schedule'!O14</f>
        <v>0.10103092783505155</v>
      </c>
      <c r="AK14" s="332">
        <f>+Q14-'[2]HS - Lane and Step Schedule'!Q14</f>
        <v>196</v>
      </c>
      <c r="AL14" s="333">
        <f>+AK14/'[2]HS - Lane and Step Schedule'!Q14</f>
        <v>9.0032154340836015E-2</v>
      </c>
      <c r="AM14" s="332">
        <f>+S14-'[2]HS - Lane and Step Schedule'!S14</f>
        <v>168</v>
      </c>
      <c r="AN14" s="333">
        <f>+AM14/'[2]HS - Lane and Step Schedule'!S14</f>
        <v>0.11715481171548117</v>
      </c>
      <c r="AO14" s="332">
        <f>+U14-'[2]HS - Lane and Step Schedule'!U14</f>
        <v>107</v>
      </c>
      <c r="AP14" s="335">
        <f>+AO14/'[2]HS - Lane and Step Schedule'!U14</f>
        <v>0.10490196078431373</v>
      </c>
    </row>
    <row r="15" spans="1:42" ht="19.95" customHeight="1" x14ac:dyDescent="0.3">
      <c r="A15" s="67">
        <v>9</v>
      </c>
      <c r="B15" s="325">
        <f>+B14</f>
        <v>0.15005025000000002</v>
      </c>
      <c r="C15" s="42">
        <f t="shared" si="0"/>
        <v>5932</v>
      </c>
      <c r="D15" s="325">
        <f>+D14</f>
        <v>0.12154070250000001</v>
      </c>
      <c r="E15" s="42">
        <f t="shared" si="1"/>
        <v>4805</v>
      </c>
      <c r="F15" s="325">
        <f>+F14</f>
        <v>0.10803618000000001</v>
      </c>
      <c r="G15" s="42">
        <f t="shared" si="2"/>
        <v>4271</v>
      </c>
      <c r="H15" s="325">
        <f>+H14</f>
        <v>9.6032160000000005E-2</v>
      </c>
      <c r="I15" s="42">
        <f t="shared" si="3"/>
        <v>3797</v>
      </c>
      <c r="J15" s="325">
        <f>+J14</f>
        <v>8.5528642500000002E-2</v>
      </c>
      <c r="K15" s="42">
        <f t="shared" si="4"/>
        <v>3381</v>
      </c>
      <c r="L15" s="325">
        <f>+L14</f>
        <v>7.3524622499999998E-2</v>
      </c>
      <c r="M15" s="42">
        <f t="shared" si="5"/>
        <v>2907</v>
      </c>
      <c r="N15" s="325">
        <f>+N14</f>
        <v>6.7522612500000009E-2</v>
      </c>
      <c r="O15" s="42">
        <f t="shared" si="6"/>
        <v>2670</v>
      </c>
      <c r="P15" s="325">
        <f>+P14</f>
        <v>6.0020100000000007E-2</v>
      </c>
      <c r="Q15" s="42">
        <f t="shared" si="7"/>
        <v>2373</v>
      </c>
      <c r="R15" s="325">
        <f>+R14</f>
        <v>4.0513567500000007E-2</v>
      </c>
      <c r="S15" s="42">
        <f t="shared" si="8"/>
        <v>1602</v>
      </c>
      <c r="T15" s="325">
        <f>+T14</f>
        <v>2.8509547500000003E-2</v>
      </c>
      <c r="U15" s="68">
        <f t="shared" si="9"/>
        <v>1127</v>
      </c>
      <c r="W15" s="334">
        <f>+C15-'[2]HS - Lane and Step Schedule'!C15</f>
        <v>-459</v>
      </c>
      <c r="X15" s="333">
        <f>+W15/'[2]HS - Lane and Step Schedule'!C15</f>
        <v>-7.1819746518541699E-2</v>
      </c>
      <c r="Y15" s="332">
        <f>+E15-'[2]HS - Lane and Step Schedule'!E15</f>
        <v>479</v>
      </c>
      <c r="Z15" s="333">
        <f>+Y15/'[2]HS - Lane and Step Schedule'!E15</f>
        <v>0.11072584373555247</v>
      </c>
      <c r="AA15" s="332">
        <f>+G15-'[2]HS - Lane and Step Schedule'!G15</f>
        <v>358</v>
      </c>
      <c r="AB15" s="333">
        <f>+AA15/'[2]HS - Lane and Step Schedule'!G15</f>
        <v>9.1489905443393818E-2</v>
      </c>
      <c r="AC15" s="332">
        <f>+I15-'[2]HS - Lane and Step Schedule'!I15</f>
        <v>298</v>
      </c>
      <c r="AD15" s="333">
        <f>+AC15/'[2]HS - Lane and Step Schedule'!I15</f>
        <v>8.5167190625893119E-2</v>
      </c>
      <c r="AE15" s="332">
        <f>+K15-'[2]HS - Lane and Step Schedule'!K15</f>
        <v>295</v>
      </c>
      <c r="AF15" s="333">
        <f>+AE15/'[2]HS - Lane and Step Schedule'!K15</f>
        <v>9.5593000648088136E-2</v>
      </c>
      <c r="AG15" s="332">
        <f>+M15-'[2]HS - Lane and Step Schedule'!M15</f>
        <v>234</v>
      </c>
      <c r="AH15" s="333">
        <f>+AG15/'[2]HS - Lane and Step Schedule'!M15</f>
        <v>8.7542087542087546E-2</v>
      </c>
      <c r="AI15" s="332">
        <f>+O15-'[2]HS - Lane and Step Schedule'!O15</f>
        <v>245</v>
      </c>
      <c r="AJ15" s="333">
        <f>+AI15/'[2]HS - Lane and Step Schedule'!O15</f>
        <v>0.10103092783505155</v>
      </c>
      <c r="AK15" s="332">
        <f>+Q15-'[2]HS - Lane and Step Schedule'!Q15</f>
        <v>196</v>
      </c>
      <c r="AL15" s="333">
        <f>+AK15/'[2]HS - Lane and Step Schedule'!Q15</f>
        <v>9.0032154340836015E-2</v>
      </c>
      <c r="AM15" s="332">
        <f>+S15-'[2]HS - Lane and Step Schedule'!S15</f>
        <v>168</v>
      </c>
      <c r="AN15" s="333">
        <f>+AM15/'[2]HS - Lane and Step Schedule'!S15</f>
        <v>0.11715481171548117</v>
      </c>
      <c r="AO15" s="332">
        <f>+U15-'[2]HS - Lane and Step Schedule'!U15</f>
        <v>107</v>
      </c>
      <c r="AP15" s="335">
        <f>+AO15/'[2]HS - Lane and Step Schedule'!U15</f>
        <v>0.10490196078431373</v>
      </c>
    </row>
    <row r="16" spans="1:42" ht="19.95" customHeight="1" x14ac:dyDescent="0.3">
      <c r="A16" s="161">
        <v>10</v>
      </c>
      <c r="B16" s="326">
        <f>+B15*1.05</f>
        <v>0.15755276250000003</v>
      </c>
      <c r="C16" s="340">
        <f t="shared" si="0"/>
        <v>6229</v>
      </c>
      <c r="D16" s="326">
        <f>+D15*1.05</f>
        <v>0.12761773762500003</v>
      </c>
      <c r="E16" s="340">
        <f t="shared" si="1"/>
        <v>5045</v>
      </c>
      <c r="F16" s="326">
        <f>+F15*1.05</f>
        <v>0.11343798900000002</v>
      </c>
      <c r="G16" s="340">
        <f t="shared" si="2"/>
        <v>4485</v>
      </c>
      <c r="H16" s="326">
        <f>+H15*1.05</f>
        <v>0.100833768</v>
      </c>
      <c r="I16" s="340">
        <f t="shared" si="3"/>
        <v>3986</v>
      </c>
      <c r="J16" s="326">
        <f>+J15*1.05</f>
        <v>8.9805074625000009E-2</v>
      </c>
      <c r="K16" s="340">
        <f t="shared" si="4"/>
        <v>3550</v>
      </c>
      <c r="L16" s="326">
        <f>+L15*1.05</f>
        <v>7.7200853624999996E-2</v>
      </c>
      <c r="M16" s="340">
        <f t="shared" si="5"/>
        <v>3052</v>
      </c>
      <c r="N16" s="326">
        <f>+N15*1.05</f>
        <v>7.0898743125000011E-2</v>
      </c>
      <c r="O16" s="340">
        <f t="shared" si="6"/>
        <v>2803</v>
      </c>
      <c r="P16" s="326">
        <f>+P15*1.05</f>
        <v>6.3021105000000008E-2</v>
      </c>
      <c r="Q16" s="340">
        <f t="shared" si="7"/>
        <v>2492</v>
      </c>
      <c r="R16" s="326">
        <f>+R15*1.05</f>
        <v>4.2539245875000006E-2</v>
      </c>
      <c r="S16" s="340">
        <f t="shared" si="8"/>
        <v>1682</v>
      </c>
      <c r="T16" s="326">
        <f>+T15*1.05</f>
        <v>2.9935024875000004E-2</v>
      </c>
      <c r="U16" s="342">
        <f t="shared" si="9"/>
        <v>1183</v>
      </c>
      <c r="W16" s="334">
        <f>+C16-'[2]HS - Lane and Step Schedule'!C16</f>
        <v>-482</v>
      </c>
      <c r="X16" s="333">
        <f>+W16/'[2]HS - Lane and Step Schedule'!C16</f>
        <v>-7.1822381165251081E-2</v>
      </c>
      <c r="Y16" s="332">
        <f>+E16-'[2]HS - Lane and Step Schedule'!E16</f>
        <v>503</v>
      </c>
      <c r="Z16" s="333">
        <f>+Y16/'[2]HS - Lane and Step Schedule'!E16</f>
        <v>0.11074416556583003</v>
      </c>
      <c r="AA16" s="332">
        <f>+G16-'[2]HS - Lane and Step Schedule'!G16</f>
        <v>377</v>
      </c>
      <c r="AB16" s="333">
        <f>+AA16/'[2]HS - Lane and Step Schedule'!G16</f>
        <v>9.1772151898734181E-2</v>
      </c>
      <c r="AC16" s="332">
        <f>+I16-'[2]HS - Lane and Step Schedule'!I16</f>
        <v>312</v>
      </c>
      <c r="AD16" s="333">
        <f>+AC16/'[2]HS - Lane and Step Schedule'!I16</f>
        <v>8.4921066956995098E-2</v>
      </c>
      <c r="AE16" s="332">
        <f>+K16-'[2]HS - Lane and Step Schedule'!K16</f>
        <v>309</v>
      </c>
      <c r="AF16" s="333">
        <f>+AE16/'[2]HS - Lane and Step Schedule'!K16</f>
        <v>9.5340944153039189E-2</v>
      </c>
      <c r="AG16" s="332">
        <f>+M16-'[2]HS - Lane and Step Schedule'!M16</f>
        <v>245</v>
      </c>
      <c r="AH16" s="333">
        <f>+AG16/'[2]HS - Lane and Step Schedule'!M16</f>
        <v>8.7281795511221949E-2</v>
      </c>
      <c r="AI16" s="332">
        <f>+O16-'[2]HS - Lane and Step Schedule'!O16</f>
        <v>257</v>
      </c>
      <c r="AJ16" s="333">
        <f>+AI16/'[2]HS - Lane and Step Schedule'!O16</f>
        <v>0.10094265514532601</v>
      </c>
      <c r="AK16" s="332">
        <f>+Q16-'[2]HS - Lane and Step Schedule'!Q16</f>
        <v>206</v>
      </c>
      <c r="AL16" s="333">
        <f>+AK16/'[2]HS - Lane and Step Schedule'!Q16</f>
        <v>9.0113735783027116E-2</v>
      </c>
      <c r="AM16" s="332">
        <f>+S16-'[2]HS - Lane and Step Schedule'!S16</f>
        <v>177</v>
      </c>
      <c r="AN16" s="333">
        <f>+AM16/'[2]HS - Lane and Step Schedule'!S16</f>
        <v>0.11760797342192691</v>
      </c>
      <c r="AO16" s="332">
        <f>+U16-'[2]HS - Lane and Step Schedule'!U16</f>
        <v>111</v>
      </c>
      <c r="AP16" s="335">
        <f>+AO16/'[2]HS - Lane and Step Schedule'!U16</f>
        <v>0.10354477611940298</v>
      </c>
    </row>
    <row r="17" spans="1:42" ht="19.95" customHeight="1" x14ac:dyDescent="0.3">
      <c r="A17" s="67">
        <v>11</v>
      </c>
      <c r="B17" s="325">
        <f>+B16</f>
        <v>0.15755276250000003</v>
      </c>
      <c r="C17" s="42">
        <f t="shared" si="0"/>
        <v>6229</v>
      </c>
      <c r="D17" s="325">
        <f>+D16</f>
        <v>0.12761773762500003</v>
      </c>
      <c r="E17" s="42">
        <f t="shared" si="1"/>
        <v>5045</v>
      </c>
      <c r="F17" s="325">
        <f>+F16</f>
        <v>0.11343798900000002</v>
      </c>
      <c r="G17" s="42">
        <f t="shared" si="2"/>
        <v>4485</v>
      </c>
      <c r="H17" s="325">
        <f>+H16</f>
        <v>0.100833768</v>
      </c>
      <c r="I17" s="42">
        <f t="shared" si="3"/>
        <v>3986</v>
      </c>
      <c r="J17" s="325">
        <f>+J16</f>
        <v>8.9805074625000009E-2</v>
      </c>
      <c r="K17" s="42">
        <f t="shared" si="4"/>
        <v>3550</v>
      </c>
      <c r="L17" s="325">
        <f>+L16</f>
        <v>7.7200853624999996E-2</v>
      </c>
      <c r="M17" s="42">
        <f t="shared" si="5"/>
        <v>3052</v>
      </c>
      <c r="N17" s="325">
        <f>+N16</f>
        <v>7.0898743125000011E-2</v>
      </c>
      <c r="O17" s="42">
        <f t="shared" si="6"/>
        <v>2803</v>
      </c>
      <c r="P17" s="325">
        <f>+P16</f>
        <v>6.3021105000000008E-2</v>
      </c>
      <c r="Q17" s="42">
        <f t="shared" si="7"/>
        <v>2492</v>
      </c>
      <c r="R17" s="325">
        <f>+R16</f>
        <v>4.2539245875000006E-2</v>
      </c>
      <c r="S17" s="42">
        <f t="shared" si="8"/>
        <v>1682</v>
      </c>
      <c r="T17" s="325">
        <f>+T16</f>
        <v>2.9935024875000004E-2</v>
      </c>
      <c r="U17" s="68">
        <f t="shared" si="9"/>
        <v>1183</v>
      </c>
      <c r="W17" s="334">
        <f>+C17-'[2]HS - Lane and Step Schedule'!C17</f>
        <v>-482</v>
      </c>
      <c r="X17" s="333">
        <f>+W17/'[2]HS - Lane and Step Schedule'!C17</f>
        <v>-7.1822381165251081E-2</v>
      </c>
      <c r="Y17" s="332">
        <f>+E17-'[2]HS - Lane and Step Schedule'!E17</f>
        <v>503</v>
      </c>
      <c r="Z17" s="333">
        <f>+Y17/'[2]HS - Lane and Step Schedule'!E17</f>
        <v>0.11074416556583003</v>
      </c>
      <c r="AA17" s="332">
        <f>+G17-'[2]HS - Lane and Step Schedule'!G17</f>
        <v>377</v>
      </c>
      <c r="AB17" s="333">
        <f>+AA17/'[2]HS - Lane and Step Schedule'!G17</f>
        <v>9.1772151898734181E-2</v>
      </c>
      <c r="AC17" s="332">
        <f>+I17-'[2]HS - Lane and Step Schedule'!I17</f>
        <v>312</v>
      </c>
      <c r="AD17" s="333">
        <f>+AC17/'[2]HS - Lane and Step Schedule'!I17</f>
        <v>8.4921066956995098E-2</v>
      </c>
      <c r="AE17" s="332">
        <f>+K17-'[2]HS - Lane and Step Schedule'!K17</f>
        <v>309</v>
      </c>
      <c r="AF17" s="333">
        <f>+AE17/'[2]HS - Lane and Step Schedule'!K17</f>
        <v>9.5340944153039189E-2</v>
      </c>
      <c r="AG17" s="332">
        <f>+M17-'[2]HS - Lane and Step Schedule'!M17</f>
        <v>245</v>
      </c>
      <c r="AH17" s="333">
        <f>+AG17/'[2]HS - Lane and Step Schedule'!M17</f>
        <v>8.7281795511221949E-2</v>
      </c>
      <c r="AI17" s="332">
        <f>+O17-'[2]HS - Lane and Step Schedule'!O17</f>
        <v>257</v>
      </c>
      <c r="AJ17" s="333">
        <f>+AI17/'[2]HS - Lane and Step Schedule'!O17</f>
        <v>0.10094265514532601</v>
      </c>
      <c r="AK17" s="332">
        <f>+Q17-'[2]HS - Lane and Step Schedule'!Q17</f>
        <v>206</v>
      </c>
      <c r="AL17" s="333">
        <f>+AK17/'[2]HS - Lane and Step Schedule'!Q17</f>
        <v>9.0113735783027116E-2</v>
      </c>
      <c r="AM17" s="332">
        <f>+S17-'[2]HS - Lane and Step Schedule'!S17</f>
        <v>177</v>
      </c>
      <c r="AN17" s="333">
        <f>+AM17/'[2]HS - Lane and Step Schedule'!S17</f>
        <v>0.11760797342192691</v>
      </c>
      <c r="AO17" s="332">
        <f>+U17-'[2]HS - Lane and Step Schedule'!U17</f>
        <v>111</v>
      </c>
      <c r="AP17" s="335">
        <f>+AO17/'[2]HS - Lane and Step Schedule'!U17</f>
        <v>0.10354477611940298</v>
      </c>
    </row>
    <row r="18" spans="1:42" ht="19.95" customHeight="1" x14ac:dyDescent="0.3">
      <c r="A18" s="67">
        <v>12</v>
      </c>
      <c r="B18" s="325">
        <f>+B17</f>
        <v>0.15755276250000003</v>
      </c>
      <c r="C18" s="42">
        <f t="shared" si="0"/>
        <v>6229</v>
      </c>
      <c r="D18" s="325">
        <f>+D17</f>
        <v>0.12761773762500003</v>
      </c>
      <c r="E18" s="42">
        <f t="shared" si="1"/>
        <v>5045</v>
      </c>
      <c r="F18" s="325">
        <f>+F17</f>
        <v>0.11343798900000002</v>
      </c>
      <c r="G18" s="42">
        <f t="shared" si="2"/>
        <v>4485</v>
      </c>
      <c r="H18" s="325">
        <f>+H17</f>
        <v>0.100833768</v>
      </c>
      <c r="I18" s="42">
        <f t="shared" si="3"/>
        <v>3986</v>
      </c>
      <c r="J18" s="325">
        <f>+J17</f>
        <v>8.9805074625000009E-2</v>
      </c>
      <c r="K18" s="42">
        <f t="shared" si="4"/>
        <v>3550</v>
      </c>
      <c r="L18" s="325">
        <f>+L17</f>
        <v>7.7200853624999996E-2</v>
      </c>
      <c r="M18" s="42">
        <f t="shared" si="5"/>
        <v>3052</v>
      </c>
      <c r="N18" s="325">
        <f>+N17</f>
        <v>7.0898743125000011E-2</v>
      </c>
      <c r="O18" s="42">
        <f t="shared" si="6"/>
        <v>2803</v>
      </c>
      <c r="P18" s="325">
        <f>+P17</f>
        <v>6.3021105000000008E-2</v>
      </c>
      <c r="Q18" s="42">
        <f t="shared" si="7"/>
        <v>2492</v>
      </c>
      <c r="R18" s="325">
        <f>+R17</f>
        <v>4.2539245875000006E-2</v>
      </c>
      <c r="S18" s="42">
        <f t="shared" si="8"/>
        <v>1682</v>
      </c>
      <c r="T18" s="325">
        <f>+T17</f>
        <v>2.9935024875000004E-2</v>
      </c>
      <c r="U18" s="68">
        <f t="shared" si="9"/>
        <v>1183</v>
      </c>
      <c r="W18" s="334">
        <f>+C18-'[2]HS - Lane and Step Schedule'!C18</f>
        <v>-482</v>
      </c>
      <c r="X18" s="333">
        <f>+W18/'[2]HS - Lane and Step Schedule'!C18</f>
        <v>-7.1822381165251081E-2</v>
      </c>
      <c r="Y18" s="332">
        <f>+E18-'[2]HS - Lane and Step Schedule'!E18</f>
        <v>503</v>
      </c>
      <c r="Z18" s="333">
        <f>+Y18/'[2]HS - Lane and Step Schedule'!E18</f>
        <v>0.11074416556583003</v>
      </c>
      <c r="AA18" s="332">
        <f>+G18-'[2]HS - Lane and Step Schedule'!G18</f>
        <v>377</v>
      </c>
      <c r="AB18" s="333">
        <f>+AA18/'[2]HS - Lane and Step Schedule'!G18</f>
        <v>9.1772151898734181E-2</v>
      </c>
      <c r="AC18" s="332">
        <f>+I18-'[2]HS - Lane and Step Schedule'!I18</f>
        <v>312</v>
      </c>
      <c r="AD18" s="333">
        <f>+AC18/'[2]HS - Lane and Step Schedule'!I18</f>
        <v>8.4921066956995098E-2</v>
      </c>
      <c r="AE18" s="332">
        <f>+K18-'[2]HS - Lane and Step Schedule'!K18</f>
        <v>309</v>
      </c>
      <c r="AF18" s="333">
        <f>+AE18/'[2]HS - Lane and Step Schedule'!K18</f>
        <v>9.5340944153039189E-2</v>
      </c>
      <c r="AG18" s="332">
        <f>+M18-'[2]HS - Lane and Step Schedule'!M18</f>
        <v>245</v>
      </c>
      <c r="AH18" s="333">
        <f>+AG18/'[2]HS - Lane and Step Schedule'!M18</f>
        <v>8.7281795511221949E-2</v>
      </c>
      <c r="AI18" s="332">
        <f>+O18-'[2]HS - Lane and Step Schedule'!O18</f>
        <v>257</v>
      </c>
      <c r="AJ18" s="333">
        <f>+AI18/'[2]HS - Lane and Step Schedule'!O18</f>
        <v>0.10094265514532601</v>
      </c>
      <c r="AK18" s="332">
        <f>+Q18-'[2]HS - Lane and Step Schedule'!Q18</f>
        <v>206</v>
      </c>
      <c r="AL18" s="333">
        <f>+AK18/'[2]HS - Lane and Step Schedule'!Q18</f>
        <v>9.0113735783027116E-2</v>
      </c>
      <c r="AM18" s="332">
        <f>+S18-'[2]HS - Lane and Step Schedule'!S18</f>
        <v>177</v>
      </c>
      <c r="AN18" s="333">
        <f>+AM18/'[2]HS - Lane and Step Schedule'!S18</f>
        <v>0.11760797342192691</v>
      </c>
      <c r="AO18" s="332">
        <f>+U18-'[2]HS - Lane and Step Schedule'!U18</f>
        <v>111</v>
      </c>
      <c r="AP18" s="335">
        <f>+AO18/'[2]HS - Lane and Step Schedule'!U18</f>
        <v>0.10354477611940298</v>
      </c>
    </row>
    <row r="19" spans="1:42" ht="19.95" customHeight="1" x14ac:dyDescent="0.3">
      <c r="A19" s="67">
        <v>13</v>
      </c>
      <c r="B19" s="325">
        <f>+B18*1.01</f>
        <v>0.15912829012500002</v>
      </c>
      <c r="C19" s="42">
        <f t="shared" si="0"/>
        <v>6291</v>
      </c>
      <c r="D19" s="325">
        <f>+D18*1.01</f>
        <v>0.12889391500125003</v>
      </c>
      <c r="E19" s="42">
        <f t="shared" si="1"/>
        <v>5096</v>
      </c>
      <c r="F19" s="325">
        <f>+F18*1.01</f>
        <v>0.11457236889000001</v>
      </c>
      <c r="G19" s="42">
        <f t="shared" si="2"/>
        <v>4530</v>
      </c>
      <c r="H19" s="325">
        <f>+H18*1.01</f>
        <v>0.10184210568</v>
      </c>
      <c r="I19" s="42">
        <f t="shared" si="3"/>
        <v>4026</v>
      </c>
      <c r="J19" s="325">
        <f>+J18*1.01</f>
        <v>9.0703125371250012E-2</v>
      </c>
      <c r="K19" s="42">
        <f t="shared" si="4"/>
        <v>3586</v>
      </c>
      <c r="L19" s="325">
        <f>+L18*1.01</f>
        <v>7.7972862161250003E-2</v>
      </c>
      <c r="M19" s="42">
        <f t="shared" si="5"/>
        <v>3083</v>
      </c>
      <c r="N19" s="325">
        <f>+N18*1.01</f>
        <v>7.1607730556250013E-2</v>
      </c>
      <c r="O19" s="42">
        <f t="shared" si="6"/>
        <v>2831</v>
      </c>
      <c r="P19" s="325">
        <f>+P18*1.01</f>
        <v>6.3651316050000004E-2</v>
      </c>
      <c r="Q19" s="42">
        <f t="shared" si="7"/>
        <v>2516</v>
      </c>
      <c r="R19" s="325">
        <f>+R18*1.01</f>
        <v>4.2964638333750006E-2</v>
      </c>
      <c r="S19" s="42">
        <f t="shared" si="8"/>
        <v>1699</v>
      </c>
      <c r="T19" s="325">
        <f>+T18*1.01</f>
        <v>3.0234375123750004E-2</v>
      </c>
      <c r="U19" s="68">
        <f t="shared" si="9"/>
        <v>1195</v>
      </c>
      <c r="W19" s="334">
        <f>+C19-'[2]HS - Lane and Step Schedule'!C19</f>
        <v>-487</v>
      </c>
      <c r="X19" s="333">
        <f>+W19/'[2]HS - Lane and Step Schedule'!C19</f>
        <v>-7.1850103275302446E-2</v>
      </c>
      <c r="Y19" s="332">
        <f>+E19-'[2]HS - Lane and Step Schedule'!E19</f>
        <v>509</v>
      </c>
      <c r="Z19" s="333">
        <f>+Y19/'[2]HS - Lane and Step Schedule'!E19</f>
        <v>0.11096577283627643</v>
      </c>
      <c r="AA19" s="332">
        <f>+G19-'[2]HS - Lane and Step Schedule'!G19</f>
        <v>381</v>
      </c>
      <c r="AB19" s="333">
        <f>+AA19/'[2]HS - Lane and Step Schedule'!G19</f>
        <v>9.1829356471438903E-2</v>
      </c>
      <c r="AC19" s="332">
        <f>+I19-'[2]HS - Lane and Step Schedule'!I19</f>
        <v>315</v>
      </c>
      <c r="AD19" s="333">
        <f>+AC19/'[2]HS - Lane and Step Schedule'!I19</f>
        <v>8.488278092158448E-2</v>
      </c>
      <c r="AE19" s="332">
        <f>+K19-'[2]HS - Lane and Step Schedule'!K19</f>
        <v>313</v>
      </c>
      <c r="AF19" s="333">
        <f>+AE19/'[2]HS - Lane and Step Schedule'!K19</f>
        <v>9.5630919645585094E-2</v>
      </c>
      <c r="AG19" s="332">
        <f>+M19-'[2]HS - Lane and Step Schedule'!M19</f>
        <v>248</v>
      </c>
      <c r="AH19" s="333">
        <f>+AG19/'[2]HS - Lane and Step Schedule'!M19</f>
        <v>8.7477954144620812E-2</v>
      </c>
      <c r="AI19" s="332">
        <f>+O19-'[2]HS - Lane and Step Schedule'!O19</f>
        <v>259</v>
      </c>
      <c r="AJ19" s="333">
        <f>+AI19/'[2]HS - Lane and Step Schedule'!O19</f>
        <v>0.10069984447900467</v>
      </c>
      <c r="AK19" s="332">
        <f>+Q19-'[2]HS - Lane and Step Schedule'!Q19</f>
        <v>207</v>
      </c>
      <c r="AL19" s="333">
        <f>+AK19/'[2]HS - Lane and Step Schedule'!Q19</f>
        <v>8.9649198787353834E-2</v>
      </c>
      <c r="AM19" s="332">
        <f>+S19-'[2]HS - Lane and Step Schedule'!S19</f>
        <v>179</v>
      </c>
      <c r="AN19" s="333">
        <f>+AM19/'[2]HS - Lane and Step Schedule'!S19</f>
        <v>0.11776315789473685</v>
      </c>
      <c r="AO19" s="332">
        <f>+U19-'[2]HS - Lane and Step Schedule'!U19</f>
        <v>113</v>
      </c>
      <c r="AP19" s="335">
        <f>+AO19/'[2]HS - Lane and Step Schedule'!U19</f>
        <v>0.1044362292051756</v>
      </c>
    </row>
    <row r="20" spans="1:42" ht="19.95" customHeight="1" x14ac:dyDescent="0.3">
      <c r="A20" s="67">
        <v>14</v>
      </c>
      <c r="B20" s="325">
        <f>+B19</f>
        <v>0.15912829012500002</v>
      </c>
      <c r="C20" s="42">
        <f t="shared" si="0"/>
        <v>6291</v>
      </c>
      <c r="D20" s="325">
        <f>+D19</f>
        <v>0.12889391500125003</v>
      </c>
      <c r="E20" s="42">
        <f t="shared" si="1"/>
        <v>5096</v>
      </c>
      <c r="F20" s="325">
        <f>+F19</f>
        <v>0.11457236889000001</v>
      </c>
      <c r="G20" s="42">
        <f t="shared" si="2"/>
        <v>4530</v>
      </c>
      <c r="H20" s="325">
        <f>+H19</f>
        <v>0.10184210568</v>
      </c>
      <c r="I20" s="42">
        <f t="shared" si="3"/>
        <v>4026</v>
      </c>
      <c r="J20" s="325">
        <f>+J19</f>
        <v>9.0703125371250012E-2</v>
      </c>
      <c r="K20" s="42">
        <f t="shared" si="4"/>
        <v>3586</v>
      </c>
      <c r="L20" s="325">
        <f>+L19</f>
        <v>7.7972862161250003E-2</v>
      </c>
      <c r="M20" s="42">
        <f t="shared" si="5"/>
        <v>3083</v>
      </c>
      <c r="N20" s="325">
        <f>+N19</f>
        <v>7.1607730556250013E-2</v>
      </c>
      <c r="O20" s="42">
        <f t="shared" si="6"/>
        <v>2831</v>
      </c>
      <c r="P20" s="325">
        <f>+P19</f>
        <v>6.3651316050000004E-2</v>
      </c>
      <c r="Q20" s="42">
        <f t="shared" si="7"/>
        <v>2516</v>
      </c>
      <c r="R20" s="325">
        <f>+R19</f>
        <v>4.2964638333750006E-2</v>
      </c>
      <c r="S20" s="42">
        <f t="shared" si="8"/>
        <v>1699</v>
      </c>
      <c r="T20" s="325">
        <f>+T19</f>
        <v>3.0234375123750004E-2</v>
      </c>
      <c r="U20" s="68">
        <f t="shared" si="9"/>
        <v>1195</v>
      </c>
      <c r="W20" s="334">
        <f>+C20-'[2]HS - Lane and Step Schedule'!C20</f>
        <v>-487</v>
      </c>
      <c r="X20" s="333">
        <f>+W20/'[2]HS - Lane and Step Schedule'!C20</f>
        <v>-7.1850103275302446E-2</v>
      </c>
      <c r="Y20" s="332">
        <f>+E20-'[2]HS - Lane and Step Schedule'!E20</f>
        <v>509</v>
      </c>
      <c r="Z20" s="333">
        <f>+Y20/'[2]HS - Lane and Step Schedule'!E20</f>
        <v>0.11096577283627643</v>
      </c>
      <c r="AA20" s="332">
        <f>+G20-'[2]HS - Lane and Step Schedule'!G20</f>
        <v>381</v>
      </c>
      <c r="AB20" s="333">
        <f>+AA20/'[2]HS - Lane and Step Schedule'!G20</f>
        <v>9.1829356471438903E-2</v>
      </c>
      <c r="AC20" s="332">
        <f>+I20-'[2]HS - Lane and Step Schedule'!I20</f>
        <v>315</v>
      </c>
      <c r="AD20" s="333">
        <f>+AC20/'[2]HS - Lane and Step Schedule'!I20</f>
        <v>8.488278092158448E-2</v>
      </c>
      <c r="AE20" s="332">
        <f>+K20-'[2]HS - Lane and Step Schedule'!K20</f>
        <v>313</v>
      </c>
      <c r="AF20" s="333">
        <f>+AE20/'[2]HS - Lane and Step Schedule'!K20</f>
        <v>9.5630919645585094E-2</v>
      </c>
      <c r="AG20" s="332">
        <f>+M20-'[2]HS - Lane and Step Schedule'!M20</f>
        <v>248</v>
      </c>
      <c r="AH20" s="333">
        <f>+AG20/'[2]HS - Lane and Step Schedule'!M20</f>
        <v>8.7477954144620812E-2</v>
      </c>
      <c r="AI20" s="332">
        <f>+O20-'[2]HS - Lane and Step Schedule'!O20</f>
        <v>259</v>
      </c>
      <c r="AJ20" s="333">
        <f>+AI20/'[2]HS - Lane and Step Schedule'!O20</f>
        <v>0.10069984447900467</v>
      </c>
      <c r="AK20" s="332">
        <f>+Q20-'[2]HS - Lane and Step Schedule'!Q20</f>
        <v>207</v>
      </c>
      <c r="AL20" s="333">
        <f>+AK20/'[2]HS - Lane and Step Schedule'!Q20</f>
        <v>8.9649198787353834E-2</v>
      </c>
      <c r="AM20" s="332">
        <f>+S20-'[2]HS - Lane and Step Schedule'!S20</f>
        <v>179</v>
      </c>
      <c r="AN20" s="333">
        <f>+AM20/'[2]HS - Lane and Step Schedule'!S20</f>
        <v>0.11776315789473685</v>
      </c>
      <c r="AO20" s="332">
        <f>+U20-'[2]HS - Lane and Step Schedule'!U20</f>
        <v>113</v>
      </c>
      <c r="AP20" s="335">
        <f>+AO20/'[2]HS - Lane and Step Schedule'!U20</f>
        <v>0.1044362292051756</v>
      </c>
    </row>
    <row r="21" spans="1:42" ht="19.95" customHeight="1" x14ac:dyDescent="0.3">
      <c r="A21" s="67">
        <v>15</v>
      </c>
      <c r="B21" s="325">
        <f>+B20</f>
        <v>0.15912829012500002</v>
      </c>
      <c r="C21" s="42">
        <f t="shared" si="0"/>
        <v>6291</v>
      </c>
      <c r="D21" s="325">
        <f>+D20</f>
        <v>0.12889391500125003</v>
      </c>
      <c r="E21" s="42">
        <f t="shared" si="1"/>
        <v>5096</v>
      </c>
      <c r="F21" s="325">
        <f>+F20</f>
        <v>0.11457236889000001</v>
      </c>
      <c r="G21" s="42">
        <f t="shared" si="2"/>
        <v>4530</v>
      </c>
      <c r="H21" s="325">
        <f>+H20</f>
        <v>0.10184210568</v>
      </c>
      <c r="I21" s="42">
        <f t="shared" si="3"/>
        <v>4026</v>
      </c>
      <c r="J21" s="325">
        <f>+J20</f>
        <v>9.0703125371250012E-2</v>
      </c>
      <c r="K21" s="42">
        <f t="shared" si="4"/>
        <v>3586</v>
      </c>
      <c r="L21" s="325">
        <f>+L20</f>
        <v>7.7972862161250003E-2</v>
      </c>
      <c r="M21" s="42">
        <f t="shared" si="5"/>
        <v>3083</v>
      </c>
      <c r="N21" s="325">
        <f>+N20</f>
        <v>7.1607730556250013E-2</v>
      </c>
      <c r="O21" s="42">
        <f t="shared" si="6"/>
        <v>2831</v>
      </c>
      <c r="P21" s="325">
        <f>+P20</f>
        <v>6.3651316050000004E-2</v>
      </c>
      <c r="Q21" s="42">
        <f t="shared" si="7"/>
        <v>2516</v>
      </c>
      <c r="R21" s="325">
        <f>+R20</f>
        <v>4.2964638333750006E-2</v>
      </c>
      <c r="S21" s="42">
        <f t="shared" si="8"/>
        <v>1699</v>
      </c>
      <c r="T21" s="325">
        <f>+T20</f>
        <v>3.0234375123750004E-2</v>
      </c>
      <c r="U21" s="68">
        <f t="shared" si="9"/>
        <v>1195</v>
      </c>
      <c r="W21" s="334">
        <f>+C21-'[2]HS - Lane and Step Schedule'!C21</f>
        <v>-487</v>
      </c>
      <c r="X21" s="333">
        <f>+W21/'[2]HS - Lane and Step Schedule'!C21</f>
        <v>-7.1850103275302446E-2</v>
      </c>
      <c r="Y21" s="332">
        <f>+E21-'[2]HS - Lane and Step Schedule'!E21</f>
        <v>509</v>
      </c>
      <c r="Z21" s="333">
        <f>+Y21/'[2]HS - Lane and Step Schedule'!E21</f>
        <v>0.11096577283627643</v>
      </c>
      <c r="AA21" s="332">
        <f>+G21-'[2]HS - Lane and Step Schedule'!G21</f>
        <v>381</v>
      </c>
      <c r="AB21" s="333">
        <f>+AA21/'[2]HS - Lane and Step Schedule'!G21</f>
        <v>9.1829356471438903E-2</v>
      </c>
      <c r="AC21" s="332">
        <f>+I21-'[2]HS - Lane and Step Schedule'!I21</f>
        <v>315</v>
      </c>
      <c r="AD21" s="333">
        <f>+AC21/'[2]HS - Lane and Step Schedule'!I21</f>
        <v>8.488278092158448E-2</v>
      </c>
      <c r="AE21" s="332">
        <f>+K21-'[2]HS - Lane and Step Schedule'!K21</f>
        <v>313</v>
      </c>
      <c r="AF21" s="333">
        <f>+AE21/'[2]HS - Lane and Step Schedule'!K21</f>
        <v>9.5630919645585094E-2</v>
      </c>
      <c r="AG21" s="332">
        <f>+M21-'[2]HS - Lane and Step Schedule'!M21</f>
        <v>248</v>
      </c>
      <c r="AH21" s="333">
        <f>+AG21/'[2]HS - Lane and Step Schedule'!M21</f>
        <v>8.7477954144620812E-2</v>
      </c>
      <c r="AI21" s="332">
        <f>+O21-'[2]HS - Lane and Step Schedule'!O21</f>
        <v>259</v>
      </c>
      <c r="AJ21" s="333">
        <f>+AI21/'[2]HS - Lane and Step Schedule'!O21</f>
        <v>0.10069984447900467</v>
      </c>
      <c r="AK21" s="332">
        <f>+Q21-'[2]HS - Lane and Step Schedule'!Q21</f>
        <v>207</v>
      </c>
      <c r="AL21" s="333">
        <f>+AK21/'[2]HS - Lane and Step Schedule'!Q21</f>
        <v>8.9649198787353834E-2</v>
      </c>
      <c r="AM21" s="332">
        <f>+S21-'[2]HS - Lane and Step Schedule'!S21</f>
        <v>179</v>
      </c>
      <c r="AN21" s="333">
        <f>+AM21/'[2]HS - Lane and Step Schedule'!S21</f>
        <v>0.11776315789473685</v>
      </c>
      <c r="AO21" s="332">
        <f>+U21-'[2]HS - Lane and Step Schedule'!U21</f>
        <v>113</v>
      </c>
      <c r="AP21" s="335">
        <f>+AO21/'[2]HS - Lane and Step Schedule'!U21</f>
        <v>0.1044362292051756</v>
      </c>
    </row>
    <row r="22" spans="1:42" ht="19.95" customHeight="1" x14ac:dyDescent="0.3">
      <c r="A22" s="67">
        <v>16</v>
      </c>
      <c r="B22" s="325">
        <f>+B21*1.01</f>
        <v>0.16071957302625001</v>
      </c>
      <c r="C22" s="42">
        <f t="shared" si="0"/>
        <v>6354</v>
      </c>
      <c r="D22" s="325">
        <f>+D21*1.01</f>
        <v>0.13018285415126252</v>
      </c>
      <c r="E22" s="42">
        <f t="shared" si="1"/>
        <v>5147</v>
      </c>
      <c r="F22" s="325">
        <f>+F21*1.01</f>
        <v>0.11571809257890002</v>
      </c>
      <c r="G22" s="42">
        <f t="shared" si="2"/>
        <v>4575</v>
      </c>
      <c r="H22" s="325">
        <f>+H21*1.01</f>
        <v>0.1028605267368</v>
      </c>
      <c r="I22" s="42">
        <f t="shared" si="3"/>
        <v>4067</v>
      </c>
      <c r="J22" s="325">
        <f>+J21*1.01</f>
        <v>9.161015662496251E-2</v>
      </c>
      <c r="K22" s="42">
        <f t="shared" si="4"/>
        <v>3622</v>
      </c>
      <c r="L22" s="325">
        <f>+L21*1.01</f>
        <v>7.8752590782862508E-2</v>
      </c>
      <c r="M22" s="42">
        <f t="shared" si="5"/>
        <v>3113</v>
      </c>
      <c r="N22" s="325">
        <f>+N21*1.01</f>
        <v>7.2323807861812514E-2</v>
      </c>
      <c r="O22" s="42">
        <f t="shared" si="6"/>
        <v>2859</v>
      </c>
      <c r="P22" s="325">
        <f>+P21*1.01</f>
        <v>6.4287829210500011E-2</v>
      </c>
      <c r="Q22" s="42">
        <f t="shared" si="7"/>
        <v>2542</v>
      </c>
      <c r="R22" s="325">
        <f>+R21*1.01</f>
        <v>4.3394284717087506E-2</v>
      </c>
      <c r="S22" s="42">
        <f t="shared" si="8"/>
        <v>1716</v>
      </c>
      <c r="T22" s="325">
        <f>+T21*1.01</f>
        <v>3.0536718874987503E-2</v>
      </c>
      <c r="U22" s="68">
        <f t="shared" si="9"/>
        <v>1207</v>
      </c>
      <c r="W22" s="334">
        <f>+C22-'[2]HS - Lane and Step Schedule'!C22</f>
        <v>-492</v>
      </c>
      <c r="X22" s="333">
        <f>+W22/'[2]HS - Lane and Step Schedule'!C22</f>
        <v>-7.1866783523225244E-2</v>
      </c>
      <c r="Y22" s="332">
        <f>+E22-'[2]HS - Lane and Step Schedule'!E22</f>
        <v>514</v>
      </c>
      <c r="Z22" s="333">
        <f>+Y22/'[2]HS - Lane and Step Schedule'!E22</f>
        <v>0.11094323332613858</v>
      </c>
      <c r="AA22" s="332">
        <f>+G22-'[2]HS - Lane and Step Schedule'!G22</f>
        <v>384</v>
      </c>
      <c r="AB22" s="333">
        <f>+AA22/'[2]HS - Lane and Step Schedule'!G22</f>
        <v>9.1624910522548314E-2</v>
      </c>
      <c r="AC22" s="332">
        <f>+I22-'[2]HS - Lane and Step Schedule'!I22</f>
        <v>319</v>
      </c>
      <c r="AD22" s="333">
        <f>+AC22/'[2]HS - Lane and Step Schedule'!I22</f>
        <v>8.5112059765208109E-2</v>
      </c>
      <c r="AE22" s="332">
        <f>+K22-'[2]HS - Lane and Step Schedule'!K22</f>
        <v>316</v>
      </c>
      <c r="AF22" s="333">
        <f>+AE22/'[2]HS - Lane and Step Schedule'!K22</f>
        <v>9.5583787053841504E-2</v>
      </c>
      <c r="AG22" s="332">
        <f>+M22-'[2]HS - Lane and Step Schedule'!M22</f>
        <v>250</v>
      </c>
      <c r="AH22" s="333">
        <f>+AG22/'[2]HS - Lane and Step Schedule'!M22</f>
        <v>8.7320991966468739E-2</v>
      </c>
      <c r="AI22" s="332">
        <f>+O22-'[2]HS - Lane and Step Schedule'!O22</f>
        <v>261</v>
      </c>
      <c r="AJ22" s="333">
        <f>+AI22/'[2]HS - Lane and Step Schedule'!O22</f>
        <v>0.10046189376443418</v>
      </c>
      <c r="AK22" s="332">
        <f>+Q22-'[2]HS - Lane and Step Schedule'!Q22</f>
        <v>210</v>
      </c>
      <c r="AL22" s="333">
        <f>+AK22/'[2]HS - Lane and Step Schedule'!Q22</f>
        <v>9.0051457975986279E-2</v>
      </c>
      <c r="AM22" s="332">
        <f>+S22-'[2]HS - Lane and Step Schedule'!S22</f>
        <v>180</v>
      </c>
      <c r="AN22" s="333">
        <f>+AM22/'[2]HS - Lane and Step Schedule'!S22</f>
        <v>0.1171875</v>
      </c>
      <c r="AO22" s="332">
        <f>+U22-'[2]HS - Lane and Step Schedule'!U22</f>
        <v>114</v>
      </c>
      <c r="AP22" s="335">
        <f>+AO22/'[2]HS - Lane and Step Schedule'!U22</f>
        <v>0.10430009149130832</v>
      </c>
    </row>
    <row r="23" spans="1:42" ht="19.95" customHeight="1" x14ac:dyDescent="0.3">
      <c r="A23" s="67">
        <v>17</v>
      </c>
      <c r="B23" s="325">
        <f>+B22</f>
        <v>0.16071957302625001</v>
      </c>
      <c r="C23" s="42">
        <f t="shared" si="0"/>
        <v>6354</v>
      </c>
      <c r="D23" s="325">
        <f>+D22</f>
        <v>0.13018285415126252</v>
      </c>
      <c r="E23" s="42">
        <f t="shared" si="1"/>
        <v>5147</v>
      </c>
      <c r="F23" s="325">
        <f>+F22</f>
        <v>0.11571809257890002</v>
      </c>
      <c r="G23" s="42">
        <f t="shared" si="2"/>
        <v>4575</v>
      </c>
      <c r="H23" s="325">
        <f>+H22</f>
        <v>0.1028605267368</v>
      </c>
      <c r="I23" s="42">
        <f t="shared" si="3"/>
        <v>4067</v>
      </c>
      <c r="J23" s="325">
        <f>+J22</f>
        <v>9.161015662496251E-2</v>
      </c>
      <c r="K23" s="42">
        <f t="shared" si="4"/>
        <v>3622</v>
      </c>
      <c r="L23" s="325">
        <f>+L22</f>
        <v>7.8752590782862508E-2</v>
      </c>
      <c r="M23" s="42">
        <f t="shared" si="5"/>
        <v>3113</v>
      </c>
      <c r="N23" s="325">
        <f>+N22</f>
        <v>7.2323807861812514E-2</v>
      </c>
      <c r="O23" s="42">
        <f t="shared" si="6"/>
        <v>2859</v>
      </c>
      <c r="P23" s="325">
        <f>+P22</f>
        <v>6.4287829210500011E-2</v>
      </c>
      <c r="Q23" s="42">
        <f t="shared" si="7"/>
        <v>2542</v>
      </c>
      <c r="R23" s="325">
        <f>+R22</f>
        <v>4.3394284717087506E-2</v>
      </c>
      <c r="S23" s="42">
        <f t="shared" si="8"/>
        <v>1716</v>
      </c>
      <c r="T23" s="325">
        <f>+T22</f>
        <v>3.0536718874987503E-2</v>
      </c>
      <c r="U23" s="68">
        <f t="shared" si="9"/>
        <v>1207</v>
      </c>
      <c r="W23" s="334">
        <f>+C23-'[2]HS - Lane and Step Schedule'!C23</f>
        <v>-492</v>
      </c>
      <c r="X23" s="333">
        <f>+W23/'[2]HS - Lane and Step Schedule'!C23</f>
        <v>-7.1866783523225244E-2</v>
      </c>
      <c r="Y23" s="332">
        <f>+E23-'[2]HS - Lane and Step Schedule'!E23</f>
        <v>514</v>
      </c>
      <c r="Z23" s="333">
        <f>+Y23/'[2]HS - Lane and Step Schedule'!E23</f>
        <v>0.11094323332613858</v>
      </c>
      <c r="AA23" s="332">
        <f>+G23-'[2]HS - Lane and Step Schedule'!G23</f>
        <v>384</v>
      </c>
      <c r="AB23" s="333">
        <f>+AA23/'[2]HS - Lane and Step Schedule'!G23</f>
        <v>9.1624910522548314E-2</v>
      </c>
      <c r="AC23" s="332">
        <f>+I23-'[2]HS - Lane and Step Schedule'!I23</f>
        <v>319</v>
      </c>
      <c r="AD23" s="333">
        <f>+AC23/'[2]HS - Lane and Step Schedule'!I23</f>
        <v>8.5112059765208109E-2</v>
      </c>
      <c r="AE23" s="332">
        <f>+K23-'[2]HS - Lane and Step Schedule'!K23</f>
        <v>316</v>
      </c>
      <c r="AF23" s="333">
        <f>+AE23/'[2]HS - Lane and Step Schedule'!K23</f>
        <v>9.5583787053841504E-2</v>
      </c>
      <c r="AG23" s="332">
        <f>+M23-'[2]HS - Lane and Step Schedule'!M23</f>
        <v>250</v>
      </c>
      <c r="AH23" s="333">
        <f>+AG23/'[2]HS - Lane and Step Schedule'!M23</f>
        <v>8.7320991966468739E-2</v>
      </c>
      <c r="AI23" s="332">
        <f>+O23-'[2]HS - Lane and Step Schedule'!O23</f>
        <v>261</v>
      </c>
      <c r="AJ23" s="333">
        <f>+AI23/'[2]HS - Lane and Step Schedule'!O23</f>
        <v>0.10046189376443418</v>
      </c>
      <c r="AK23" s="332">
        <f>+Q23-'[2]HS - Lane and Step Schedule'!Q23</f>
        <v>210</v>
      </c>
      <c r="AL23" s="333">
        <f>+AK23/'[2]HS - Lane and Step Schedule'!Q23</f>
        <v>9.0051457975986279E-2</v>
      </c>
      <c r="AM23" s="332">
        <f>+S23-'[2]HS - Lane and Step Schedule'!S23</f>
        <v>180</v>
      </c>
      <c r="AN23" s="333">
        <f>+AM23/'[2]HS - Lane and Step Schedule'!S23</f>
        <v>0.1171875</v>
      </c>
      <c r="AO23" s="332">
        <f>+U23-'[2]HS - Lane and Step Schedule'!U23</f>
        <v>114</v>
      </c>
      <c r="AP23" s="335">
        <f>+AO23/'[2]HS - Lane and Step Schedule'!U23</f>
        <v>0.10430009149130832</v>
      </c>
    </row>
    <row r="24" spans="1:42" ht="19.95" customHeight="1" x14ac:dyDescent="0.3">
      <c r="A24" s="67">
        <v>18</v>
      </c>
      <c r="B24" s="325">
        <f>+B23</f>
        <v>0.16071957302625001</v>
      </c>
      <c r="C24" s="42">
        <f t="shared" si="0"/>
        <v>6354</v>
      </c>
      <c r="D24" s="325">
        <f>+D23</f>
        <v>0.13018285415126252</v>
      </c>
      <c r="E24" s="42">
        <f t="shared" si="1"/>
        <v>5147</v>
      </c>
      <c r="F24" s="325">
        <f>+F23</f>
        <v>0.11571809257890002</v>
      </c>
      <c r="G24" s="42">
        <f t="shared" si="2"/>
        <v>4575</v>
      </c>
      <c r="H24" s="325">
        <f>+H23</f>
        <v>0.1028605267368</v>
      </c>
      <c r="I24" s="42">
        <f t="shared" si="3"/>
        <v>4067</v>
      </c>
      <c r="J24" s="325">
        <f>+J23</f>
        <v>9.161015662496251E-2</v>
      </c>
      <c r="K24" s="42">
        <f t="shared" si="4"/>
        <v>3622</v>
      </c>
      <c r="L24" s="325">
        <f>+L23</f>
        <v>7.8752590782862508E-2</v>
      </c>
      <c r="M24" s="42">
        <f t="shared" si="5"/>
        <v>3113</v>
      </c>
      <c r="N24" s="325">
        <f>+N23</f>
        <v>7.2323807861812514E-2</v>
      </c>
      <c r="O24" s="42">
        <f t="shared" si="6"/>
        <v>2859</v>
      </c>
      <c r="P24" s="325">
        <f>+P23</f>
        <v>6.4287829210500011E-2</v>
      </c>
      <c r="Q24" s="42">
        <f t="shared" si="7"/>
        <v>2542</v>
      </c>
      <c r="R24" s="325">
        <f>+R23</f>
        <v>4.3394284717087506E-2</v>
      </c>
      <c r="S24" s="42">
        <f t="shared" si="8"/>
        <v>1716</v>
      </c>
      <c r="T24" s="325">
        <f>+T23</f>
        <v>3.0536718874987503E-2</v>
      </c>
      <c r="U24" s="68">
        <f t="shared" si="9"/>
        <v>1207</v>
      </c>
      <c r="W24" s="334">
        <f>+C24-'[2]HS - Lane and Step Schedule'!C24</f>
        <v>-492</v>
      </c>
      <c r="X24" s="333">
        <f>+W24/'[2]HS - Lane and Step Schedule'!C24</f>
        <v>-7.1866783523225244E-2</v>
      </c>
      <c r="Y24" s="332">
        <f>+E24-'[2]HS - Lane and Step Schedule'!E24</f>
        <v>514</v>
      </c>
      <c r="Z24" s="333">
        <f>+Y24/'[2]HS - Lane and Step Schedule'!E24</f>
        <v>0.11094323332613858</v>
      </c>
      <c r="AA24" s="332">
        <f>+G24-'[2]HS - Lane and Step Schedule'!G24</f>
        <v>384</v>
      </c>
      <c r="AB24" s="333">
        <f>+AA24/'[2]HS - Lane and Step Schedule'!G24</f>
        <v>9.1624910522548314E-2</v>
      </c>
      <c r="AC24" s="332">
        <f>+I24-'[2]HS - Lane and Step Schedule'!I24</f>
        <v>319</v>
      </c>
      <c r="AD24" s="333">
        <f>+AC24/'[2]HS - Lane and Step Schedule'!I24</f>
        <v>8.5112059765208109E-2</v>
      </c>
      <c r="AE24" s="332">
        <f>+K24-'[2]HS - Lane and Step Schedule'!K24</f>
        <v>316</v>
      </c>
      <c r="AF24" s="333">
        <f>+AE24/'[2]HS - Lane and Step Schedule'!K24</f>
        <v>9.5583787053841504E-2</v>
      </c>
      <c r="AG24" s="332">
        <f>+M24-'[2]HS - Lane and Step Schedule'!M24</f>
        <v>250</v>
      </c>
      <c r="AH24" s="333">
        <f>+AG24/'[2]HS - Lane and Step Schedule'!M24</f>
        <v>8.7320991966468739E-2</v>
      </c>
      <c r="AI24" s="332">
        <f>+O24-'[2]HS - Lane and Step Schedule'!O24</f>
        <v>261</v>
      </c>
      <c r="AJ24" s="333">
        <f>+AI24/'[2]HS - Lane and Step Schedule'!O24</f>
        <v>0.10046189376443418</v>
      </c>
      <c r="AK24" s="332">
        <f>+Q24-'[2]HS - Lane and Step Schedule'!Q24</f>
        <v>210</v>
      </c>
      <c r="AL24" s="333">
        <f>+AK24/'[2]HS - Lane and Step Schedule'!Q24</f>
        <v>9.0051457975986279E-2</v>
      </c>
      <c r="AM24" s="332">
        <f>+S24-'[2]HS - Lane and Step Schedule'!S24</f>
        <v>180</v>
      </c>
      <c r="AN24" s="333">
        <f>+AM24/'[2]HS - Lane and Step Schedule'!S24</f>
        <v>0.1171875</v>
      </c>
      <c r="AO24" s="332">
        <f>+U24-'[2]HS - Lane and Step Schedule'!U24</f>
        <v>114</v>
      </c>
      <c r="AP24" s="335">
        <f>+AO24/'[2]HS - Lane and Step Schedule'!U24</f>
        <v>0.10430009149130832</v>
      </c>
    </row>
    <row r="25" spans="1:42" ht="19.95" customHeight="1" thickBot="1" x14ac:dyDescent="0.35">
      <c r="A25" s="69" t="s">
        <v>38</v>
      </c>
      <c r="B25" s="327">
        <f>+B24*1.01</f>
        <v>0.1623267687565125</v>
      </c>
      <c r="C25" s="341">
        <f t="shared" si="0"/>
        <v>6418</v>
      </c>
      <c r="D25" s="327">
        <f>+D24*1.01</f>
        <v>0.13148468269277513</v>
      </c>
      <c r="E25" s="341">
        <f t="shared" si="1"/>
        <v>5198</v>
      </c>
      <c r="F25" s="327">
        <f>+F24*1.01</f>
        <v>0.11687527350468901</v>
      </c>
      <c r="G25" s="341">
        <f t="shared" si="2"/>
        <v>4621</v>
      </c>
      <c r="H25" s="327">
        <f>+H24*1.01</f>
        <v>0.10388913200416801</v>
      </c>
      <c r="I25" s="341">
        <f t="shared" si="3"/>
        <v>4107</v>
      </c>
      <c r="J25" s="327">
        <f>+J24*1.01</f>
        <v>9.252625819121213E-2</v>
      </c>
      <c r="K25" s="341">
        <f t="shared" si="4"/>
        <v>3658</v>
      </c>
      <c r="L25" s="327">
        <f>+L24*1.01</f>
        <v>7.9540116690691137E-2</v>
      </c>
      <c r="M25" s="341">
        <f t="shared" si="5"/>
        <v>3145</v>
      </c>
      <c r="N25" s="327">
        <f>+N24*1.01</f>
        <v>7.3047045940430641E-2</v>
      </c>
      <c r="O25" s="341">
        <f t="shared" si="6"/>
        <v>2888</v>
      </c>
      <c r="P25" s="327">
        <f>+P24*1.01</f>
        <v>6.4930707502605017E-2</v>
      </c>
      <c r="Q25" s="341">
        <f t="shared" si="7"/>
        <v>2567</v>
      </c>
      <c r="R25" s="327">
        <f>+R24*1.01</f>
        <v>4.382822756425838E-2</v>
      </c>
      <c r="S25" s="341">
        <f t="shared" si="8"/>
        <v>1733</v>
      </c>
      <c r="T25" s="327">
        <f>+T24*1.01</f>
        <v>3.0842086063737378E-2</v>
      </c>
      <c r="U25" s="343">
        <f t="shared" si="9"/>
        <v>1219</v>
      </c>
      <c r="W25" s="336">
        <f>+C25-'[2]HS - Lane and Step Schedule'!C25</f>
        <v>-496</v>
      </c>
      <c r="X25" s="337">
        <f>+W25/'[2]HS - Lane and Step Schedule'!C25</f>
        <v>-7.1738501590974835E-2</v>
      </c>
      <c r="Y25" s="338">
        <f>+E25-'[2]HS - Lane and Step Schedule'!E25</f>
        <v>518</v>
      </c>
      <c r="Z25" s="337">
        <f>+Y25/'[2]HS - Lane and Step Schedule'!E25</f>
        <v>0.11068376068376068</v>
      </c>
      <c r="AA25" s="338">
        <f>+G25-'[2]HS - Lane and Step Schedule'!G25</f>
        <v>388</v>
      </c>
      <c r="AB25" s="337">
        <f>+AA25/'[2]HS - Lane and Step Schedule'!G25</f>
        <v>9.1660760689818099E-2</v>
      </c>
      <c r="AC25" s="338">
        <f>+I25-'[2]HS - Lane and Step Schedule'!I25</f>
        <v>321</v>
      </c>
      <c r="AD25" s="337">
        <f>+AC25/'[2]HS - Lane and Step Schedule'!I25</f>
        <v>8.4786053882725837E-2</v>
      </c>
      <c r="AE25" s="338">
        <f>+K25-'[2]HS - Lane and Step Schedule'!K25</f>
        <v>319</v>
      </c>
      <c r="AF25" s="337">
        <f>+AE25/'[2]HS - Lane and Step Schedule'!K25</f>
        <v>9.5537586103623839E-2</v>
      </c>
      <c r="AG25" s="338">
        <f>+M25-'[2]HS - Lane and Step Schedule'!M25</f>
        <v>253</v>
      </c>
      <c r="AH25" s="337">
        <f>+AG25/'[2]HS - Lane and Step Schedule'!M25</f>
        <v>8.7482710926694324E-2</v>
      </c>
      <c r="AI25" s="338">
        <f>+O25-'[2]HS - Lane and Step Schedule'!O25</f>
        <v>264</v>
      </c>
      <c r="AJ25" s="337">
        <f>+AI25/'[2]HS - Lane and Step Schedule'!O25</f>
        <v>0.10060975609756098</v>
      </c>
      <c r="AK25" s="338">
        <f>+Q25-'[2]HS - Lane and Step Schedule'!Q25</f>
        <v>212</v>
      </c>
      <c r="AL25" s="337">
        <f>+AK25/'[2]HS - Lane and Step Schedule'!Q25</f>
        <v>9.0021231422505302E-2</v>
      </c>
      <c r="AM25" s="338">
        <f>+S25-'[2]HS - Lane and Step Schedule'!S25</f>
        <v>182</v>
      </c>
      <c r="AN25" s="337">
        <f>+AM25/'[2]HS - Lane and Step Schedule'!S25</f>
        <v>0.11734364925854288</v>
      </c>
      <c r="AO25" s="338">
        <f>+U25-'[2]HS - Lane and Step Schedule'!U25</f>
        <v>115</v>
      </c>
      <c r="AP25" s="339">
        <f>+AO25/'[2]HS - Lane and Step Schedule'!U25</f>
        <v>0.10416666666666667</v>
      </c>
    </row>
  </sheetData>
  <sheetProtection algorithmName="SHA-512" hashValue="Fs5xqQQHKRu1L4ptZRBBM1/crXuUowSc40KknEKWcbgIs3mFaDiaKKiqF2OuX6hnCb2+HP56IRsPc1EcwPa+Fg==" saltValue="YKMAXbs4CLzT0OBrZrsRRQ==" spinCount="100000" sheet="1" selectLockedCells="1"/>
  <mergeCells count="23">
    <mergeCell ref="W4:AP4"/>
    <mergeCell ref="T3:U3"/>
    <mergeCell ref="A4:U4"/>
    <mergeCell ref="N5:O5"/>
    <mergeCell ref="P5:Q5"/>
    <mergeCell ref="R5:S5"/>
    <mergeCell ref="T5:U5"/>
    <mergeCell ref="B5:C5"/>
    <mergeCell ref="D5:E5"/>
    <mergeCell ref="F5:G5"/>
    <mergeCell ref="H5:I5"/>
    <mergeCell ref="J5:K5"/>
    <mergeCell ref="L5:M5"/>
    <mergeCell ref="W5:X5"/>
    <mergeCell ref="AI5:AJ5"/>
    <mergeCell ref="AK5:AL5"/>
    <mergeCell ref="AM5:AN5"/>
    <mergeCell ref="AO5:AP5"/>
    <mergeCell ref="Y5:Z5"/>
    <mergeCell ref="AA5:AB5"/>
    <mergeCell ref="AC5:AD5"/>
    <mergeCell ref="AE5:AF5"/>
    <mergeCell ref="AG5:AH5"/>
  </mergeCells>
  <printOptions horizontalCentered="1"/>
  <pageMargins left="0.25" right="0.25" top="0.25" bottom="0.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AD41"/>
  <sheetViews>
    <sheetView zoomScaleNormal="100" workbookViewId="0">
      <pane xSplit="1" ySplit="5" topLeftCell="B6" activePane="bottomRight" state="frozen"/>
      <selection activeCell="C61" sqref="C61"/>
      <selection pane="topRight" activeCell="C61" sqref="C61"/>
      <selection pane="bottomLeft" activeCell="C61" sqref="C61"/>
      <selection pane="bottomRight" activeCell="B1" sqref="B1"/>
    </sheetView>
  </sheetViews>
  <sheetFormatPr defaultRowHeight="13.8" x14ac:dyDescent="0.3"/>
  <cols>
    <col min="1" max="1" width="20.77734375" style="234" customWidth="1"/>
    <col min="2" max="2" width="12.77734375" style="234" customWidth="1"/>
    <col min="3" max="3" width="20.77734375" style="234" customWidth="1"/>
    <col min="4" max="4" width="12.77734375" style="234" customWidth="1"/>
    <col min="5" max="6" width="6.77734375" style="234" customWidth="1"/>
    <col min="7" max="8" width="12.77734375" style="234" customWidth="1"/>
    <col min="9" max="9" width="10.77734375" style="234" hidden="1" customWidth="1"/>
    <col min="10" max="11" width="10.77734375" style="235" hidden="1" customWidth="1"/>
    <col min="12" max="14" width="10.77734375" style="234" hidden="1" customWidth="1"/>
    <col min="15" max="15" width="21.21875" style="234" hidden="1" customWidth="1"/>
    <col min="16" max="18" width="8.88671875" style="234" hidden="1" customWidth="1"/>
    <col min="19" max="21" width="10.77734375" style="234" hidden="1" customWidth="1"/>
    <col min="22" max="22" width="20.109375" style="234" hidden="1" customWidth="1"/>
    <col min="23" max="24" width="12.77734375" style="234" hidden="1" customWidth="1"/>
    <col min="25" max="26" width="10.77734375" style="234" hidden="1" customWidth="1"/>
    <col min="27" max="27" width="8.88671875" style="234" hidden="1" customWidth="1"/>
    <col min="28" max="16384" width="8.88671875" style="234"/>
  </cols>
  <sheetData>
    <row r="1" spans="1:26" s="227" customFormat="1" ht="21" customHeight="1" x14ac:dyDescent="0.4">
      <c r="A1" s="225" t="s">
        <v>185</v>
      </c>
      <c r="B1" s="226"/>
      <c r="C1" s="226"/>
      <c r="D1" s="226"/>
      <c r="E1" s="441"/>
      <c r="F1" s="441"/>
      <c r="G1" s="441"/>
      <c r="H1" s="441"/>
      <c r="J1" s="228"/>
      <c r="K1" s="228"/>
    </row>
    <row r="2" spans="1:26" s="231" customFormat="1" ht="21" customHeight="1" x14ac:dyDescent="0.4">
      <c r="A2" s="229" t="s">
        <v>186</v>
      </c>
      <c r="B2" s="230"/>
      <c r="C2" s="230"/>
      <c r="D2" s="230"/>
      <c r="E2" s="230"/>
      <c r="F2" s="230"/>
      <c r="G2" s="230"/>
      <c r="H2" s="230"/>
      <c r="J2" s="232"/>
      <c r="K2" s="232"/>
    </row>
    <row r="3" spans="1:26" ht="18.600000000000001" customHeight="1" thickBot="1" x14ac:dyDescent="0.35">
      <c r="A3" s="233"/>
      <c r="B3" s="233"/>
      <c r="C3" s="233"/>
      <c r="D3" s="233"/>
      <c r="E3" s="233"/>
      <c r="F3" s="233"/>
      <c r="G3" s="233"/>
      <c r="H3" s="233"/>
    </row>
    <row r="4" spans="1:26" ht="19.95" customHeight="1" thickBot="1" x14ac:dyDescent="0.4">
      <c r="A4" s="442" t="s">
        <v>260</v>
      </c>
      <c r="B4" s="443"/>
      <c r="C4" s="443"/>
      <c r="D4" s="443"/>
      <c r="E4" s="443"/>
      <c r="F4" s="443"/>
      <c r="G4" s="443"/>
      <c r="H4" s="444"/>
      <c r="I4" s="6"/>
      <c r="J4" s="4"/>
      <c r="K4" s="312" t="s">
        <v>285</v>
      </c>
      <c r="L4" s="396">
        <f>+'HS - Positions and Funding'!U3</f>
        <v>5.5E-2</v>
      </c>
      <c r="N4" s="295"/>
      <c r="O4" s="263"/>
    </row>
    <row r="5" spans="1:26" s="240" customFormat="1" ht="64.95" customHeight="1" thickBot="1" x14ac:dyDescent="0.35">
      <c r="A5" s="236" t="s">
        <v>50</v>
      </c>
      <c r="B5" s="237" t="s">
        <v>87</v>
      </c>
      <c r="C5" s="238" t="s">
        <v>0</v>
      </c>
      <c r="D5" s="238" t="s">
        <v>51</v>
      </c>
      <c r="E5" s="239" t="s">
        <v>46</v>
      </c>
      <c r="F5" s="237" t="s">
        <v>119</v>
      </c>
      <c r="G5" s="83" t="s">
        <v>253</v>
      </c>
      <c r="H5" s="285" t="s">
        <v>254</v>
      </c>
      <c r="I5" s="301" t="s">
        <v>120</v>
      </c>
      <c r="J5" s="301" t="s">
        <v>82</v>
      </c>
      <c r="K5" s="301" t="s">
        <v>293</v>
      </c>
      <c r="L5" s="301" t="s">
        <v>294</v>
      </c>
      <c r="M5" s="301" t="s">
        <v>232</v>
      </c>
      <c r="N5" s="301" t="s">
        <v>284</v>
      </c>
      <c r="O5" s="321" t="s">
        <v>119</v>
      </c>
      <c r="S5" s="87" t="s">
        <v>233</v>
      </c>
      <c r="T5" s="87" t="s">
        <v>232</v>
      </c>
      <c r="U5" s="87" t="s">
        <v>234</v>
      </c>
      <c r="W5" s="360" t="str">
        <f>CONCATENATE(A4," Value")</f>
        <v>2023-2024 Value</v>
      </c>
      <c r="X5" s="41" t="s">
        <v>274</v>
      </c>
      <c r="Y5" s="41" t="s">
        <v>272</v>
      </c>
      <c r="Z5" s="41" t="s">
        <v>273</v>
      </c>
    </row>
    <row r="6" spans="1:26" ht="19.95" customHeight="1" x14ac:dyDescent="0.3">
      <c r="A6" s="439" t="s">
        <v>55</v>
      </c>
      <c r="B6" s="361">
        <v>2250</v>
      </c>
      <c r="C6" s="241" t="s">
        <v>52</v>
      </c>
      <c r="D6" s="242">
        <v>1</v>
      </c>
      <c r="E6" s="243" t="s">
        <v>79</v>
      </c>
      <c r="F6" s="288"/>
      <c r="G6" s="415" t="s">
        <v>255</v>
      </c>
      <c r="H6" s="437" t="s">
        <v>256</v>
      </c>
      <c r="I6" s="383">
        <v>1</v>
      </c>
      <c r="J6" s="383">
        <v>1</v>
      </c>
      <c r="K6" s="388">
        <v>2250</v>
      </c>
      <c r="L6" s="391">
        <f t="shared" ref="L6:L31" si="0">ROUND(K6*J6*(1+$L$4),0)</f>
        <v>2374</v>
      </c>
      <c r="M6" s="391">
        <f>+L6*0.3134</f>
        <v>744.01160000000004</v>
      </c>
      <c r="N6" s="391">
        <f>+M6+L6</f>
        <v>3118.0115999999998</v>
      </c>
      <c r="O6" s="302"/>
      <c r="S6" s="55">
        <f>+B6+B7</f>
        <v>2250</v>
      </c>
      <c r="T6" s="55">
        <f>+S6*0.3134</f>
        <v>705.15</v>
      </c>
      <c r="U6" s="55">
        <f>+T6+S6</f>
        <v>2955.15</v>
      </c>
      <c r="W6" s="355">
        <f t="shared" ref="W6:W31" si="1">+B6</f>
        <v>2250</v>
      </c>
      <c r="X6" s="355">
        <f>'[2]JHS - Positions and Funding'!B6</f>
        <v>2040</v>
      </c>
      <c r="Y6" s="355">
        <f>+W6-X6</f>
        <v>210</v>
      </c>
      <c r="Z6" s="356">
        <f>+Y6/X6</f>
        <v>0.10294117647058823</v>
      </c>
    </row>
    <row r="7" spans="1:26" ht="19.95" customHeight="1" thickBot="1" x14ac:dyDescent="0.35">
      <c r="A7" s="440"/>
      <c r="B7" s="362">
        <v>0</v>
      </c>
      <c r="C7" s="244" t="s">
        <v>53</v>
      </c>
      <c r="D7" s="245">
        <v>0</v>
      </c>
      <c r="E7" s="246" t="s">
        <v>79</v>
      </c>
      <c r="F7" s="289"/>
      <c r="G7" s="416"/>
      <c r="H7" s="438"/>
      <c r="I7" s="384">
        <v>0</v>
      </c>
      <c r="J7" s="384">
        <v>0</v>
      </c>
      <c r="K7" s="389">
        <v>0</v>
      </c>
      <c r="L7" s="392">
        <f t="shared" si="0"/>
        <v>0</v>
      </c>
      <c r="M7" s="392">
        <f t="shared" ref="M7:M31" si="2">+L7*0.3134</f>
        <v>0</v>
      </c>
      <c r="N7" s="392">
        <f t="shared" ref="N7:N31" si="3">+M7+L7</f>
        <v>0</v>
      </c>
      <c r="O7" s="306"/>
      <c r="W7" s="355">
        <f t="shared" si="1"/>
        <v>0</v>
      </c>
      <c r="X7" s="355">
        <f>'[2]JHS - Positions and Funding'!B7</f>
        <v>0</v>
      </c>
      <c r="Y7" s="355">
        <f t="shared" ref="Y7:Y34" si="4">+W7-X7</f>
        <v>0</v>
      </c>
      <c r="Z7" s="356" t="e">
        <f t="shared" ref="Z7:Z31" si="5">+Y7/X7</f>
        <v>#DIV/0!</v>
      </c>
    </row>
    <row r="8" spans="1:26" s="249" customFormat="1" ht="19.95" customHeight="1" x14ac:dyDescent="0.3">
      <c r="A8" s="439" t="s">
        <v>6</v>
      </c>
      <c r="B8" s="363">
        <v>0</v>
      </c>
      <c r="C8" s="247" t="s">
        <v>57</v>
      </c>
      <c r="D8" s="248">
        <v>0</v>
      </c>
      <c r="E8" s="243" t="s">
        <v>79</v>
      </c>
      <c r="F8" s="290"/>
      <c r="G8" s="415" t="s">
        <v>123</v>
      </c>
      <c r="H8" s="437" t="s">
        <v>258</v>
      </c>
      <c r="I8" s="385">
        <v>0</v>
      </c>
      <c r="J8" s="385">
        <v>0</v>
      </c>
      <c r="K8" s="390">
        <v>0</v>
      </c>
      <c r="L8" s="393">
        <f t="shared" si="0"/>
        <v>0</v>
      </c>
      <c r="M8" s="393">
        <f t="shared" si="2"/>
        <v>0</v>
      </c>
      <c r="N8" s="393">
        <f t="shared" si="3"/>
        <v>0</v>
      </c>
      <c r="O8" s="302"/>
      <c r="S8" s="256">
        <f>+B8+B9</f>
        <v>0</v>
      </c>
      <c r="T8" s="256">
        <f>+S8*0.3134</f>
        <v>0</v>
      </c>
      <c r="U8" s="256">
        <f>+T8+S8</f>
        <v>0</v>
      </c>
      <c r="W8" s="355">
        <f t="shared" si="1"/>
        <v>0</v>
      </c>
      <c r="X8" s="355">
        <f>'[2]JHS - Positions and Funding'!B8</f>
        <v>1589</v>
      </c>
      <c r="Y8" s="355">
        <f t="shared" si="4"/>
        <v>-1589</v>
      </c>
      <c r="Z8" s="356">
        <f t="shared" si="5"/>
        <v>-1</v>
      </c>
    </row>
    <row r="9" spans="1:26" s="249" customFormat="1" ht="19.95" customHeight="1" thickBot="1" x14ac:dyDescent="0.35">
      <c r="A9" s="440"/>
      <c r="B9" s="362">
        <v>0</v>
      </c>
      <c r="C9" s="244" t="s">
        <v>56</v>
      </c>
      <c r="D9" s="245">
        <v>0</v>
      </c>
      <c r="E9" s="246" t="s">
        <v>79</v>
      </c>
      <c r="F9" s="289"/>
      <c r="G9" s="416"/>
      <c r="H9" s="438"/>
      <c r="I9" s="384">
        <v>0</v>
      </c>
      <c r="J9" s="384">
        <v>0</v>
      </c>
      <c r="K9" s="389">
        <v>0</v>
      </c>
      <c r="L9" s="392">
        <f t="shared" si="0"/>
        <v>0</v>
      </c>
      <c r="M9" s="392">
        <f t="shared" si="2"/>
        <v>0</v>
      </c>
      <c r="N9" s="392">
        <f t="shared" si="3"/>
        <v>0</v>
      </c>
      <c r="O9" s="306"/>
      <c r="S9" s="250"/>
      <c r="T9" s="250"/>
      <c r="U9" s="250"/>
      <c r="W9" s="355">
        <f t="shared" si="1"/>
        <v>0</v>
      </c>
      <c r="X9" s="355">
        <f>'[2]JHS - Positions and Funding'!B9</f>
        <v>918</v>
      </c>
      <c r="Y9" s="355">
        <f t="shared" si="4"/>
        <v>-918</v>
      </c>
      <c r="Z9" s="356">
        <f t="shared" si="5"/>
        <v>-1</v>
      </c>
    </row>
    <row r="10" spans="1:26" s="249" customFormat="1" ht="19.95" customHeight="1" x14ac:dyDescent="0.3">
      <c r="A10" s="439" t="s">
        <v>7</v>
      </c>
      <c r="B10" s="363">
        <v>0</v>
      </c>
      <c r="C10" s="247" t="s">
        <v>57</v>
      </c>
      <c r="D10" s="248">
        <v>0</v>
      </c>
      <c r="E10" s="243" t="s">
        <v>79</v>
      </c>
      <c r="F10" s="288"/>
      <c r="G10" s="415" t="s">
        <v>123</v>
      </c>
      <c r="H10" s="437" t="s">
        <v>258</v>
      </c>
      <c r="I10" s="385">
        <v>0</v>
      </c>
      <c r="J10" s="385">
        <v>0</v>
      </c>
      <c r="K10" s="390">
        <v>0</v>
      </c>
      <c r="L10" s="393">
        <f t="shared" si="0"/>
        <v>0</v>
      </c>
      <c r="M10" s="393">
        <f t="shared" si="2"/>
        <v>0</v>
      </c>
      <c r="N10" s="393">
        <f t="shared" si="3"/>
        <v>0</v>
      </c>
      <c r="O10" s="302"/>
      <c r="S10" s="256">
        <f>+B10+B11</f>
        <v>0</v>
      </c>
      <c r="T10" s="256">
        <f>+S10*0.3134</f>
        <v>0</v>
      </c>
      <c r="U10" s="256">
        <f>+T10+S10</f>
        <v>0</v>
      </c>
      <c r="W10" s="355">
        <f t="shared" si="1"/>
        <v>0</v>
      </c>
      <c r="X10" s="355">
        <f>'[2]JHS - Positions and Funding'!B10</f>
        <v>1589</v>
      </c>
      <c r="Y10" s="355">
        <f t="shared" si="4"/>
        <v>-1589</v>
      </c>
      <c r="Z10" s="356">
        <f t="shared" si="5"/>
        <v>-1</v>
      </c>
    </row>
    <row r="11" spans="1:26" s="249" customFormat="1" ht="19.95" customHeight="1" thickBot="1" x14ac:dyDescent="0.35">
      <c r="A11" s="440"/>
      <c r="B11" s="362">
        <v>0</v>
      </c>
      <c r="C11" s="244" t="s">
        <v>56</v>
      </c>
      <c r="D11" s="245">
        <v>0</v>
      </c>
      <c r="E11" s="246" t="s">
        <v>79</v>
      </c>
      <c r="F11" s="289"/>
      <c r="G11" s="416"/>
      <c r="H11" s="438"/>
      <c r="I11" s="384">
        <v>0</v>
      </c>
      <c r="J11" s="384">
        <v>0</v>
      </c>
      <c r="K11" s="389">
        <v>0</v>
      </c>
      <c r="L11" s="392">
        <f t="shared" si="0"/>
        <v>0</v>
      </c>
      <c r="M11" s="392">
        <f t="shared" si="2"/>
        <v>0</v>
      </c>
      <c r="N11" s="392">
        <f t="shared" si="3"/>
        <v>0</v>
      </c>
      <c r="O11" s="306"/>
      <c r="S11" s="250"/>
      <c r="T11" s="250"/>
      <c r="U11" s="250"/>
      <c r="W11" s="355">
        <f t="shared" si="1"/>
        <v>0</v>
      </c>
      <c r="X11" s="355">
        <f>'[2]JHS - Positions and Funding'!B11</f>
        <v>918</v>
      </c>
      <c r="Y11" s="355">
        <f t="shared" si="4"/>
        <v>-918</v>
      </c>
      <c r="Z11" s="356">
        <f t="shared" si="5"/>
        <v>-1</v>
      </c>
    </row>
    <row r="12" spans="1:26" s="249" customFormat="1" ht="19.95" customHeight="1" x14ac:dyDescent="0.3">
      <c r="A12" s="439" t="s">
        <v>16</v>
      </c>
      <c r="B12" s="363">
        <v>800</v>
      </c>
      <c r="C12" s="247" t="s">
        <v>57</v>
      </c>
      <c r="D12" s="248">
        <v>1</v>
      </c>
      <c r="E12" s="243" t="s">
        <v>79</v>
      </c>
      <c r="F12" s="288"/>
      <c r="G12" s="415" t="s">
        <v>122</v>
      </c>
      <c r="H12" s="437" t="s">
        <v>259</v>
      </c>
      <c r="I12" s="385">
        <v>1</v>
      </c>
      <c r="J12" s="385">
        <v>1</v>
      </c>
      <c r="K12" s="390">
        <v>800</v>
      </c>
      <c r="L12" s="393">
        <f t="shared" si="0"/>
        <v>844</v>
      </c>
      <c r="M12" s="393">
        <f t="shared" si="2"/>
        <v>264.50960000000003</v>
      </c>
      <c r="N12" s="393">
        <f t="shared" si="3"/>
        <v>1108.5096000000001</v>
      </c>
      <c r="O12" s="302"/>
      <c r="S12" s="256">
        <f>+B12+B13</f>
        <v>1375</v>
      </c>
      <c r="T12" s="256">
        <f>+S12*0.3134</f>
        <v>430.92500000000001</v>
      </c>
      <c r="U12" s="256">
        <f>+T12+S12</f>
        <v>1805.925</v>
      </c>
      <c r="W12" s="355">
        <f t="shared" si="1"/>
        <v>800</v>
      </c>
      <c r="X12" s="355">
        <f>'[2]JHS - Positions and Funding'!B12</f>
        <v>612</v>
      </c>
      <c r="Y12" s="355">
        <f t="shared" si="4"/>
        <v>188</v>
      </c>
      <c r="Z12" s="356">
        <f t="shared" si="5"/>
        <v>0.30718954248366015</v>
      </c>
    </row>
    <row r="13" spans="1:26" s="249" customFormat="1" ht="19.95" customHeight="1" thickBot="1" x14ac:dyDescent="0.35">
      <c r="A13" s="440"/>
      <c r="B13" s="362">
        <v>575</v>
      </c>
      <c r="C13" s="244" t="s">
        <v>56</v>
      </c>
      <c r="D13" s="245">
        <v>1</v>
      </c>
      <c r="E13" s="246" t="s">
        <v>79</v>
      </c>
      <c r="F13" s="291" t="s">
        <v>187</v>
      </c>
      <c r="G13" s="416"/>
      <c r="H13" s="438"/>
      <c r="I13" s="384">
        <v>1</v>
      </c>
      <c r="J13" s="384">
        <v>1</v>
      </c>
      <c r="K13" s="389">
        <v>575</v>
      </c>
      <c r="L13" s="392">
        <f t="shared" si="0"/>
        <v>607</v>
      </c>
      <c r="M13" s="392">
        <f t="shared" si="2"/>
        <v>190.2338</v>
      </c>
      <c r="N13" s="392">
        <f t="shared" si="3"/>
        <v>797.23379999999997</v>
      </c>
      <c r="O13" s="306"/>
      <c r="S13" s="250"/>
      <c r="T13" s="250"/>
      <c r="U13" s="250"/>
      <c r="W13" s="355">
        <f t="shared" si="1"/>
        <v>575</v>
      </c>
      <c r="X13" s="355">
        <f>'[2]JHS - Positions and Funding'!B13</f>
        <v>367</v>
      </c>
      <c r="Y13" s="355">
        <f t="shared" si="4"/>
        <v>208</v>
      </c>
      <c r="Z13" s="356">
        <f t="shared" si="5"/>
        <v>0.56675749318801094</v>
      </c>
    </row>
    <row r="14" spans="1:26" s="249" customFormat="1" ht="19.95" customHeight="1" x14ac:dyDescent="0.3">
      <c r="A14" s="439" t="s">
        <v>17</v>
      </c>
      <c r="B14" s="363">
        <v>800</v>
      </c>
      <c r="C14" s="247" t="s">
        <v>57</v>
      </c>
      <c r="D14" s="248">
        <v>1</v>
      </c>
      <c r="E14" s="243" t="s">
        <v>79</v>
      </c>
      <c r="F14" s="288"/>
      <c r="G14" s="415" t="s">
        <v>122</v>
      </c>
      <c r="H14" s="437" t="s">
        <v>259</v>
      </c>
      <c r="I14" s="385">
        <v>1</v>
      </c>
      <c r="J14" s="385">
        <v>1</v>
      </c>
      <c r="K14" s="390">
        <v>800</v>
      </c>
      <c r="L14" s="393">
        <f t="shared" si="0"/>
        <v>844</v>
      </c>
      <c r="M14" s="393">
        <f t="shared" si="2"/>
        <v>264.50960000000003</v>
      </c>
      <c r="N14" s="393">
        <f t="shared" si="3"/>
        <v>1108.5096000000001</v>
      </c>
      <c r="O14" s="302"/>
      <c r="S14" s="256">
        <f>+B14+B15</f>
        <v>1375</v>
      </c>
      <c r="T14" s="256">
        <f>+S14*0.3134</f>
        <v>430.92500000000001</v>
      </c>
      <c r="U14" s="256">
        <f>+T14+S14</f>
        <v>1805.925</v>
      </c>
      <c r="W14" s="355">
        <f t="shared" si="1"/>
        <v>800</v>
      </c>
      <c r="X14" s="355">
        <f>'[2]JHS - Positions and Funding'!B14</f>
        <v>612</v>
      </c>
      <c r="Y14" s="355">
        <f t="shared" si="4"/>
        <v>188</v>
      </c>
      <c r="Z14" s="356">
        <f t="shared" si="5"/>
        <v>0.30718954248366015</v>
      </c>
    </row>
    <row r="15" spans="1:26" s="249" customFormat="1" ht="19.95" customHeight="1" thickBot="1" x14ac:dyDescent="0.35">
      <c r="A15" s="440"/>
      <c r="B15" s="362">
        <v>575</v>
      </c>
      <c r="C15" s="244" t="s">
        <v>56</v>
      </c>
      <c r="D15" s="245">
        <v>1</v>
      </c>
      <c r="E15" s="246" t="s">
        <v>79</v>
      </c>
      <c r="F15" s="291" t="s">
        <v>187</v>
      </c>
      <c r="G15" s="416"/>
      <c r="H15" s="438"/>
      <c r="I15" s="384">
        <v>1</v>
      </c>
      <c r="J15" s="384">
        <v>1</v>
      </c>
      <c r="K15" s="389">
        <v>575</v>
      </c>
      <c r="L15" s="392">
        <f t="shared" si="0"/>
        <v>607</v>
      </c>
      <c r="M15" s="392">
        <f t="shared" si="2"/>
        <v>190.2338</v>
      </c>
      <c r="N15" s="392">
        <f t="shared" si="3"/>
        <v>797.23379999999997</v>
      </c>
      <c r="O15" s="306"/>
      <c r="S15" s="250"/>
      <c r="T15" s="250"/>
      <c r="U15" s="250"/>
      <c r="W15" s="355">
        <f t="shared" si="1"/>
        <v>575</v>
      </c>
      <c r="X15" s="355">
        <f>'[2]JHS - Positions and Funding'!B15</f>
        <v>367</v>
      </c>
      <c r="Y15" s="355">
        <f t="shared" si="4"/>
        <v>208</v>
      </c>
      <c r="Z15" s="356">
        <f t="shared" si="5"/>
        <v>0.56675749318801094</v>
      </c>
    </row>
    <row r="16" spans="1:26" s="249" customFormat="1" ht="19.95" customHeight="1" x14ac:dyDescent="0.3">
      <c r="A16" s="439" t="s">
        <v>31</v>
      </c>
      <c r="B16" s="363">
        <v>1600</v>
      </c>
      <c r="C16" s="247" t="s">
        <v>58</v>
      </c>
      <c r="D16" s="248">
        <v>1</v>
      </c>
      <c r="E16" s="243" t="s">
        <v>79</v>
      </c>
      <c r="F16" s="288"/>
      <c r="G16" s="415" t="s">
        <v>255</v>
      </c>
      <c r="H16" s="437" t="s">
        <v>256</v>
      </c>
      <c r="I16" s="385">
        <v>1</v>
      </c>
      <c r="J16" s="385">
        <v>1</v>
      </c>
      <c r="K16" s="390">
        <v>1600</v>
      </c>
      <c r="L16" s="393">
        <f t="shared" si="0"/>
        <v>1688</v>
      </c>
      <c r="M16" s="393">
        <f t="shared" si="2"/>
        <v>529.01920000000007</v>
      </c>
      <c r="N16" s="393">
        <f t="shared" si="3"/>
        <v>2217.0192000000002</v>
      </c>
      <c r="O16" s="302"/>
      <c r="S16" s="256">
        <f>+B16+B17</f>
        <v>1600</v>
      </c>
      <c r="T16" s="256">
        <f>+S16*0.3134</f>
        <v>501.44</v>
      </c>
      <c r="U16" s="256">
        <f>+T16+S16</f>
        <v>2101.44</v>
      </c>
      <c r="W16" s="355">
        <f t="shared" si="1"/>
        <v>1600</v>
      </c>
      <c r="X16" s="355">
        <f>'[2]JHS - Positions and Funding'!B16</f>
        <v>1414</v>
      </c>
      <c r="Y16" s="355">
        <f t="shared" si="4"/>
        <v>186</v>
      </c>
      <c r="Z16" s="356">
        <f t="shared" si="5"/>
        <v>0.13154172560113153</v>
      </c>
    </row>
    <row r="17" spans="1:30" s="249" customFormat="1" ht="19.95" customHeight="1" thickBot="1" x14ac:dyDescent="0.35">
      <c r="A17" s="440"/>
      <c r="B17" s="362">
        <v>0</v>
      </c>
      <c r="C17" s="244" t="s">
        <v>59</v>
      </c>
      <c r="D17" s="245">
        <v>0</v>
      </c>
      <c r="E17" s="246" t="s">
        <v>79</v>
      </c>
      <c r="F17" s="289"/>
      <c r="G17" s="416"/>
      <c r="H17" s="438"/>
      <c r="I17" s="384">
        <v>0</v>
      </c>
      <c r="J17" s="384">
        <v>0</v>
      </c>
      <c r="K17" s="389">
        <v>0</v>
      </c>
      <c r="L17" s="392">
        <f t="shared" si="0"/>
        <v>0</v>
      </c>
      <c r="M17" s="392">
        <f t="shared" si="2"/>
        <v>0</v>
      </c>
      <c r="N17" s="392">
        <f t="shared" si="3"/>
        <v>0</v>
      </c>
      <c r="O17" s="306"/>
      <c r="S17" s="250"/>
      <c r="T17" s="250"/>
      <c r="U17" s="250"/>
      <c r="W17" s="355">
        <f t="shared" si="1"/>
        <v>0</v>
      </c>
      <c r="X17" s="355">
        <f>'[2]JHS - Positions and Funding'!B17</f>
        <v>0</v>
      </c>
      <c r="Y17" s="355">
        <f t="shared" si="4"/>
        <v>0</v>
      </c>
      <c r="Z17" s="356" t="e">
        <f t="shared" si="5"/>
        <v>#DIV/0!</v>
      </c>
    </row>
    <row r="18" spans="1:30" s="249" customFormat="1" ht="19.95" customHeight="1" x14ac:dyDescent="0.3">
      <c r="A18" s="439" t="s">
        <v>93</v>
      </c>
      <c r="B18" s="363">
        <v>0</v>
      </c>
      <c r="C18" s="247" t="s">
        <v>57</v>
      </c>
      <c r="D18" s="248">
        <v>0</v>
      </c>
      <c r="E18" s="243" t="s">
        <v>79</v>
      </c>
      <c r="F18" s="288"/>
      <c r="G18" s="415" t="s">
        <v>122</v>
      </c>
      <c r="H18" s="437" t="s">
        <v>259</v>
      </c>
      <c r="I18" s="385">
        <v>0</v>
      </c>
      <c r="J18" s="385">
        <v>0</v>
      </c>
      <c r="K18" s="390">
        <v>0</v>
      </c>
      <c r="L18" s="393">
        <f t="shared" si="0"/>
        <v>0</v>
      </c>
      <c r="M18" s="393">
        <f t="shared" si="2"/>
        <v>0</v>
      </c>
      <c r="N18" s="393">
        <f t="shared" si="3"/>
        <v>0</v>
      </c>
      <c r="O18" s="302"/>
      <c r="S18" s="256">
        <f>+B18+B19</f>
        <v>0</v>
      </c>
      <c r="T18" s="256">
        <f>+S18*0.3134</f>
        <v>0</v>
      </c>
      <c r="U18" s="256">
        <f>+T18+S18</f>
        <v>0</v>
      </c>
      <c r="W18" s="355">
        <f t="shared" si="1"/>
        <v>0</v>
      </c>
      <c r="X18" s="355">
        <f>'[2]JHS - Positions and Funding'!B18</f>
        <v>612</v>
      </c>
      <c r="Y18" s="355">
        <f t="shared" si="4"/>
        <v>-612</v>
      </c>
      <c r="Z18" s="356">
        <f t="shared" si="5"/>
        <v>-1</v>
      </c>
    </row>
    <row r="19" spans="1:30" s="249" customFormat="1" ht="19.95" customHeight="1" thickBot="1" x14ac:dyDescent="0.35">
      <c r="A19" s="440"/>
      <c r="B19" s="362">
        <v>0</v>
      </c>
      <c r="C19" s="244" t="s">
        <v>56</v>
      </c>
      <c r="D19" s="245">
        <v>0</v>
      </c>
      <c r="E19" s="246" t="s">
        <v>79</v>
      </c>
      <c r="F19" s="289"/>
      <c r="G19" s="416"/>
      <c r="H19" s="438"/>
      <c r="I19" s="384">
        <v>0</v>
      </c>
      <c r="J19" s="384">
        <v>0</v>
      </c>
      <c r="K19" s="389">
        <v>0</v>
      </c>
      <c r="L19" s="392">
        <f t="shared" si="0"/>
        <v>0</v>
      </c>
      <c r="M19" s="392">
        <f t="shared" si="2"/>
        <v>0</v>
      </c>
      <c r="N19" s="392">
        <f t="shared" si="3"/>
        <v>0</v>
      </c>
      <c r="O19" s="306"/>
      <c r="W19" s="355">
        <f t="shared" si="1"/>
        <v>0</v>
      </c>
      <c r="X19" s="355">
        <f>'[2]JHS - Positions and Funding'!B19</f>
        <v>367</v>
      </c>
      <c r="Y19" s="355">
        <f t="shared" si="4"/>
        <v>-367</v>
      </c>
      <c r="Z19" s="356">
        <f t="shared" si="5"/>
        <v>-1</v>
      </c>
    </row>
    <row r="20" spans="1:30" s="249" customFormat="1" ht="19.95" customHeight="1" x14ac:dyDescent="0.3">
      <c r="A20" s="439" t="s">
        <v>94</v>
      </c>
      <c r="B20" s="363">
        <v>0</v>
      </c>
      <c r="C20" s="247" t="s">
        <v>57</v>
      </c>
      <c r="D20" s="248">
        <v>0</v>
      </c>
      <c r="E20" s="243" t="s">
        <v>79</v>
      </c>
      <c r="F20" s="288"/>
      <c r="G20" s="415" t="s">
        <v>124</v>
      </c>
      <c r="H20" s="437" t="s">
        <v>257</v>
      </c>
      <c r="I20" s="385">
        <v>0</v>
      </c>
      <c r="J20" s="385">
        <v>0</v>
      </c>
      <c r="K20" s="390">
        <v>0</v>
      </c>
      <c r="L20" s="393">
        <f t="shared" si="0"/>
        <v>0</v>
      </c>
      <c r="M20" s="393">
        <f t="shared" si="2"/>
        <v>0</v>
      </c>
      <c r="N20" s="393">
        <f t="shared" si="3"/>
        <v>0</v>
      </c>
      <c r="O20" s="302"/>
      <c r="S20" s="256">
        <f>+B20+B21</f>
        <v>0</v>
      </c>
      <c r="T20" s="256">
        <f>+S20*0.3134</f>
        <v>0</v>
      </c>
      <c r="U20" s="256">
        <f>+T20+S20</f>
        <v>0</v>
      </c>
      <c r="W20" s="355">
        <f t="shared" si="1"/>
        <v>0</v>
      </c>
      <c r="X20" s="355">
        <f>'[2]JHS - Positions and Funding'!B20</f>
        <v>612</v>
      </c>
      <c r="Y20" s="355">
        <f t="shared" si="4"/>
        <v>-612</v>
      </c>
      <c r="Z20" s="356">
        <f t="shared" si="5"/>
        <v>-1</v>
      </c>
    </row>
    <row r="21" spans="1:30" s="249" customFormat="1" ht="19.95" customHeight="1" thickBot="1" x14ac:dyDescent="0.35">
      <c r="A21" s="440"/>
      <c r="B21" s="362">
        <v>0</v>
      </c>
      <c r="C21" s="244" t="s">
        <v>56</v>
      </c>
      <c r="D21" s="245">
        <v>0</v>
      </c>
      <c r="E21" s="246" t="s">
        <v>79</v>
      </c>
      <c r="F21" s="289"/>
      <c r="G21" s="416"/>
      <c r="H21" s="438"/>
      <c r="I21" s="384">
        <v>0</v>
      </c>
      <c r="J21" s="384">
        <v>0</v>
      </c>
      <c r="K21" s="389">
        <v>0</v>
      </c>
      <c r="L21" s="392">
        <f t="shared" si="0"/>
        <v>0</v>
      </c>
      <c r="M21" s="392">
        <f t="shared" si="2"/>
        <v>0</v>
      </c>
      <c r="N21" s="392">
        <f t="shared" si="3"/>
        <v>0</v>
      </c>
      <c r="O21" s="306"/>
      <c r="W21" s="355">
        <f t="shared" si="1"/>
        <v>0</v>
      </c>
      <c r="X21" s="355">
        <f>'[2]JHS - Positions and Funding'!B21</f>
        <v>367</v>
      </c>
      <c r="Y21" s="355">
        <f t="shared" si="4"/>
        <v>-367</v>
      </c>
      <c r="Z21" s="356">
        <f t="shared" si="5"/>
        <v>-1</v>
      </c>
    </row>
    <row r="22" spans="1:30" s="235" customFormat="1" ht="19.95" customHeight="1" x14ac:dyDescent="0.3">
      <c r="A22" s="439" t="s">
        <v>14</v>
      </c>
      <c r="B22" s="363">
        <v>800</v>
      </c>
      <c r="C22" s="247" t="s">
        <v>57</v>
      </c>
      <c r="D22" s="248">
        <v>1</v>
      </c>
      <c r="E22" s="243" t="s">
        <v>79</v>
      </c>
      <c r="F22" s="288"/>
      <c r="G22" s="415" t="s">
        <v>124</v>
      </c>
      <c r="H22" s="437" t="s">
        <v>257</v>
      </c>
      <c r="I22" s="385">
        <v>1</v>
      </c>
      <c r="J22" s="385">
        <v>1</v>
      </c>
      <c r="K22" s="390">
        <v>800</v>
      </c>
      <c r="L22" s="393">
        <f t="shared" si="0"/>
        <v>844</v>
      </c>
      <c r="M22" s="393">
        <f t="shared" si="2"/>
        <v>264.50960000000003</v>
      </c>
      <c r="N22" s="393">
        <f t="shared" si="3"/>
        <v>1108.5096000000001</v>
      </c>
      <c r="O22" s="302"/>
      <c r="P22" s="234"/>
      <c r="Q22" s="234"/>
      <c r="R22" s="234"/>
      <c r="S22" s="256">
        <f>+B22+B23</f>
        <v>1375</v>
      </c>
      <c r="T22" s="256">
        <f>+S22*0.3134</f>
        <v>430.92500000000001</v>
      </c>
      <c r="U22" s="256">
        <f>+T22+S22</f>
        <v>1805.925</v>
      </c>
      <c r="V22" s="234"/>
      <c r="W22" s="355">
        <f t="shared" si="1"/>
        <v>800</v>
      </c>
      <c r="X22" s="355">
        <f>'[2]JHS - Positions and Funding'!B22</f>
        <v>612</v>
      </c>
      <c r="Y22" s="355">
        <f t="shared" si="4"/>
        <v>188</v>
      </c>
      <c r="Z22" s="356">
        <f t="shared" si="5"/>
        <v>0.30718954248366015</v>
      </c>
      <c r="AA22" s="234"/>
      <c r="AB22" s="234"/>
      <c r="AC22" s="234"/>
      <c r="AD22" s="234"/>
    </row>
    <row r="23" spans="1:30" s="235" customFormat="1" ht="19.95" customHeight="1" thickBot="1" x14ac:dyDescent="0.35">
      <c r="A23" s="440"/>
      <c r="B23" s="362">
        <v>575</v>
      </c>
      <c r="C23" s="244" t="s">
        <v>56</v>
      </c>
      <c r="D23" s="245">
        <v>1</v>
      </c>
      <c r="E23" s="246" t="s">
        <v>79</v>
      </c>
      <c r="F23" s="291" t="s">
        <v>187</v>
      </c>
      <c r="G23" s="416"/>
      <c r="H23" s="438"/>
      <c r="I23" s="384">
        <v>1</v>
      </c>
      <c r="J23" s="384">
        <v>1</v>
      </c>
      <c r="K23" s="389">
        <v>575</v>
      </c>
      <c r="L23" s="392">
        <f t="shared" si="0"/>
        <v>607</v>
      </c>
      <c r="M23" s="392">
        <f t="shared" si="2"/>
        <v>190.2338</v>
      </c>
      <c r="N23" s="392">
        <f t="shared" si="3"/>
        <v>797.23379999999997</v>
      </c>
      <c r="O23" s="306"/>
      <c r="P23" s="234"/>
      <c r="Q23" s="234"/>
      <c r="R23" s="234"/>
      <c r="S23" s="234"/>
      <c r="T23" s="234"/>
      <c r="U23" s="234"/>
      <c r="V23" s="234"/>
      <c r="W23" s="355">
        <f t="shared" si="1"/>
        <v>575</v>
      </c>
      <c r="X23" s="355">
        <f>'[2]JHS - Positions and Funding'!B23</f>
        <v>367</v>
      </c>
      <c r="Y23" s="355">
        <f t="shared" si="4"/>
        <v>208</v>
      </c>
      <c r="Z23" s="356">
        <f t="shared" si="5"/>
        <v>0.56675749318801094</v>
      </c>
      <c r="AA23" s="234"/>
      <c r="AB23" s="234"/>
      <c r="AC23" s="234"/>
      <c r="AD23" s="234"/>
    </row>
    <row r="24" spans="1:30" s="235" customFormat="1" ht="19.95" customHeight="1" x14ac:dyDescent="0.3">
      <c r="A24" s="439" t="s">
        <v>15</v>
      </c>
      <c r="B24" s="363">
        <v>800</v>
      </c>
      <c r="C24" s="247" t="s">
        <v>57</v>
      </c>
      <c r="D24" s="248">
        <v>1</v>
      </c>
      <c r="E24" s="243" t="s">
        <v>79</v>
      </c>
      <c r="F24" s="288"/>
      <c r="G24" s="415" t="s">
        <v>122</v>
      </c>
      <c r="H24" s="437" t="s">
        <v>259</v>
      </c>
      <c r="I24" s="385">
        <v>1</v>
      </c>
      <c r="J24" s="385">
        <v>1</v>
      </c>
      <c r="K24" s="390">
        <v>800</v>
      </c>
      <c r="L24" s="393">
        <f t="shared" si="0"/>
        <v>844</v>
      </c>
      <c r="M24" s="393">
        <f t="shared" si="2"/>
        <v>264.50960000000003</v>
      </c>
      <c r="N24" s="393">
        <f t="shared" si="3"/>
        <v>1108.5096000000001</v>
      </c>
      <c r="O24" s="302"/>
      <c r="P24" s="234"/>
      <c r="Q24" s="234"/>
      <c r="R24" s="234"/>
      <c r="S24" s="256">
        <f>+B24+B25</f>
        <v>1375</v>
      </c>
      <c r="T24" s="256">
        <f>+S24*0.3134</f>
        <v>430.92500000000001</v>
      </c>
      <c r="U24" s="256">
        <f>+T24+S24</f>
        <v>1805.925</v>
      </c>
      <c r="V24" s="234"/>
      <c r="W24" s="355">
        <f t="shared" si="1"/>
        <v>800</v>
      </c>
      <c r="X24" s="355">
        <f>'[2]JHS - Positions and Funding'!B24</f>
        <v>612</v>
      </c>
      <c r="Y24" s="355">
        <f t="shared" si="4"/>
        <v>188</v>
      </c>
      <c r="Z24" s="356">
        <f t="shared" si="5"/>
        <v>0.30718954248366015</v>
      </c>
      <c r="AA24" s="234"/>
      <c r="AB24" s="234"/>
      <c r="AC24" s="234"/>
      <c r="AD24" s="234"/>
    </row>
    <row r="25" spans="1:30" s="235" customFormat="1" ht="19.95" customHeight="1" thickBot="1" x14ac:dyDescent="0.35">
      <c r="A25" s="440"/>
      <c r="B25" s="362">
        <v>575</v>
      </c>
      <c r="C25" s="244" t="s">
        <v>56</v>
      </c>
      <c r="D25" s="245">
        <v>1</v>
      </c>
      <c r="E25" s="246" t="s">
        <v>79</v>
      </c>
      <c r="F25" s="291" t="s">
        <v>187</v>
      </c>
      <c r="G25" s="416"/>
      <c r="H25" s="438"/>
      <c r="I25" s="384">
        <v>1</v>
      </c>
      <c r="J25" s="384">
        <v>1</v>
      </c>
      <c r="K25" s="389">
        <v>575</v>
      </c>
      <c r="L25" s="392">
        <f t="shared" si="0"/>
        <v>607</v>
      </c>
      <c r="M25" s="392">
        <f t="shared" si="2"/>
        <v>190.2338</v>
      </c>
      <c r="N25" s="392">
        <f t="shared" si="3"/>
        <v>797.23379999999997</v>
      </c>
      <c r="O25" s="306"/>
      <c r="P25" s="234"/>
      <c r="Q25" s="234"/>
      <c r="R25" s="234"/>
      <c r="S25" s="234"/>
      <c r="T25" s="234"/>
      <c r="U25" s="234"/>
      <c r="V25" s="234"/>
      <c r="W25" s="355">
        <f t="shared" si="1"/>
        <v>575</v>
      </c>
      <c r="X25" s="355">
        <f>'[2]JHS - Positions and Funding'!B25</f>
        <v>367</v>
      </c>
      <c r="Y25" s="355">
        <f t="shared" si="4"/>
        <v>208</v>
      </c>
      <c r="Z25" s="356">
        <f t="shared" si="5"/>
        <v>0.56675749318801094</v>
      </c>
      <c r="AA25" s="234"/>
      <c r="AB25" s="234"/>
      <c r="AC25" s="234"/>
      <c r="AD25" s="234"/>
    </row>
    <row r="26" spans="1:30" s="235" customFormat="1" ht="19.95" customHeight="1" x14ac:dyDescent="0.3">
      <c r="A26" s="439" t="s">
        <v>8</v>
      </c>
      <c r="B26" s="363">
        <v>1400</v>
      </c>
      <c r="C26" s="247" t="s">
        <v>57</v>
      </c>
      <c r="D26" s="248">
        <v>1</v>
      </c>
      <c r="E26" s="243" t="s">
        <v>79</v>
      </c>
      <c r="F26" s="288"/>
      <c r="G26" s="415" t="s">
        <v>124</v>
      </c>
      <c r="H26" s="437" t="s">
        <v>257</v>
      </c>
      <c r="I26" s="385">
        <v>1</v>
      </c>
      <c r="J26" s="385">
        <v>1</v>
      </c>
      <c r="K26" s="390">
        <v>1400</v>
      </c>
      <c r="L26" s="393">
        <f t="shared" si="0"/>
        <v>1477</v>
      </c>
      <c r="M26" s="393">
        <f t="shared" si="2"/>
        <v>462.89179999999999</v>
      </c>
      <c r="N26" s="393">
        <f t="shared" si="3"/>
        <v>1939.8917999999999</v>
      </c>
      <c r="O26" s="302"/>
      <c r="P26" s="234"/>
      <c r="Q26" s="234"/>
      <c r="R26" s="234"/>
      <c r="S26" s="256">
        <f>+B26+B27</f>
        <v>2250</v>
      </c>
      <c r="T26" s="256">
        <f>+S26*0.3134</f>
        <v>705.15</v>
      </c>
      <c r="U26" s="256">
        <f>+T26+S26</f>
        <v>2955.15</v>
      </c>
      <c r="V26" s="234"/>
      <c r="W26" s="355">
        <f t="shared" si="1"/>
        <v>1400</v>
      </c>
      <c r="X26" s="355">
        <f>'[2]JHS - Positions and Funding'!B26</f>
        <v>1224</v>
      </c>
      <c r="Y26" s="355">
        <f t="shared" si="4"/>
        <v>176</v>
      </c>
      <c r="Z26" s="356">
        <f t="shared" si="5"/>
        <v>0.1437908496732026</v>
      </c>
      <c r="AA26" s="234"/>
      <c r="AB26" s="234"/>
      <c r="AC26" s="234"/>
      <c r="AD26" s="234"/>
    </row>
    <row r="27" spans="1:30" s="235" customFormat="1" ht="19.95" customHeight="1" thickBot="1" x14ac:dyDescent="0.35">
      <c r="A27" s="440"/>
      <c r="B27" s="362">
        <v>850</v>
      </c>
      <c r="C27" s="244" t="s">
        <v>56</v>
      </c>
      <c r="D27" s="245">
        <v>1</v>
      </c>
      <c r="E27" s="246" t="s">
        <v>79</v>
      </c>
      <c r="F27" s="291" t="s">
        <v>187</v>
      </c>
      <c r="G27" s="416"/>
      <c r="H27" s="438"/>
      <c r="I27" s="384">
        <v>1</v>
      </c>
      <c r="J27" s="384">
        <v>1</v>
      </c>
      <c r="K27" s="389">
        <v>850</v>
      </c>
      <c r="L27" s="392">
        <f t="shared" si="0"/>
        <v>897</v>
      </c>
      <c r="M27" s="392">
        <f t="shared" si="2"/>
        <v>281.1198</v>
      </c>
      <c r="N27" s="392">
        <f t="shared" si="3"/>
        <v>1178.1197999999999</v>
      </c>
      <c r="O27" s="306"/>
      <c r="P27" s="234"/>
      <c r="Q27" s="234"/>
      <c r="R27" s="234"/>
      <c r="S27" s="234"/>
      <c r="T27" s="234"/>
      <c r="U27" s="234"/>
      <c r="V27" s="234"/>
      <c r="W27" s="355">
        <f t="shared" si="1"/>
        <v>850</v>
      </c>
      <c r="X27" s="355">
        <f>'[2]JHS - Positions and Funding'!B27</f>
        <v>740</v>
      </c>
      <c r="Y27" s="355">
        <f t="shared" si="4"/>
        <v>110</v>
      </c>
      <c r="Z27" s="356">
        <f t="shared" si="5"/>
        <v>0.14864864864864866</v>
      </c>
      <c r="AA27" s="234"/>
      <c r="AB27" s="234"/>
      <c r="AC27" s="234"/>
      <c r="AD27" s="234"/>
    </row>
    <row r="28" spans="1:30" s="235" customFormat="1" ht="19.95" customHeight="1" x14ac:dyDescent="0.3">
      <c r="A28" s="439" t="s">
        <v>11</v>
      </c>
      <c r="B28" s="363">
        <v>1400</v>
      </c>
      <c r="C28" s="247" t="s">
        <v>57</v>
      </c>
      <c r="D28" s="248">
        <v>1</v>
      </c>
      <c r="E28" s="243" t="s">
        <v>79</v>
      </c>
      <c r="F28" s="288"/>
      <c r="G28" s="415" t="s">
        <v>124</v>
      </c>
      <c r="H28" s="437" t="s">
        <v>257</v>
      </c>
      <c r="I28" s="385">
        <v>1</v>
      </c>
      <c r="J28" s="385">
        <v>1</v>
      </c>
      <c r="K28" s="390">
        <v>1400</v>
      </c>
      <c r="L28" s="393">
        <f t="shared" si="0"/>
        <v>1477</v>
      </c>
      <c r="M28" s="393">
        <f t="shared" si="2"/>
        <v>462.89179999999999</v>
      </c>
      <c r="N28" s="393">
        <f t="shared" si="3"/>
        <v>1939.8917999999999</v>
      </c>
      <c r="O28" s="302"/>
      <c r="P28" s="234"/>
      <c r="Q28" s="234"/>
      <c r="R28" s="234"/>
      <c r="S28" s="256">
        <f>+B28+B29</f>
        <v>2250</v>
      </c>
      <c r="T28" s="256">
        <f>+S28*0.3134</f>
        <v>705.15</v>
      </c>
      <c r="U28" s="256">
        <f>+T28+S28</f>
        <v>2955.15</v>
      </c>
      <c r="V28" s="234"/>
      <c r="W28" s="355">
        <f t="shared" si="1"/>
        <v>1400</v>
      </c>
      <c r="X28" s="355">
        <f>'[2]JHS - Positions and Funding'!B28</f>
        <v>1224</v>
      </c>
      <c r="Y28" s="355">
        <f t="shared" si="4"/>
        <v>176</v>
      </c>
      <c r="Z28" s="356">
        <f t="shared" si="5"/>
        <v>0.1437908496732026</v>
      </c>
      <c r="AA28" s="234"/>
      <c r="AB28" s="234"/>
      <c r="AC28" s="234"/>
      <c r="AD28" s="234"/>
    </row>
    <row r="29" spans="1:30" s="235" customFormat="1" ht="19.95" customHeight="1" thickBot="1" x14ac:dyDescent="0.35">
      <c r="A29" s="440"/>
      <c r="B29" s="362">
        <v>850</v>
      </c>
      <c r="C29" s="244" t="s">
        <v>56</v>
      </c>
      <c r="D29" s="245">
        <v>1</v>
      </c>
      <c r="E29" s="246" t="s">
        <v>79</v>
      </c>
      <c r="F29" s="291" t="s">
        <v>187</v>
      </c>
      <c r="G29" s="416"/>
      <c r="H29" s="438"/>
      <c r="I29" s="384">
        <v>1</v>
      </c>
      <c r="J29" s="384">
        <v>1</v>
      </c>
      <c r="K29" s="389">
        <v>850</v>
      </c>
      <c r="L29" s="392">
        <f t="shared" si="0"/>
        <v>897</v>
      </c>
      <c r="M29" s="392">
        <f t="shared" si="2"/>
        <v>281.1198</v>
      </c>
      <c r="N29" s="392">
        <f t="shared" si="3"/>
        <v>1178.1197999999999</v>
      </c>
      <c r="O29" s="306"/>
      <c r="P29" s="234"/>
      <c r="Q29" s="234"/>
      <c r="R29" s="234"/>
      <c r="S29" s="234"/>
      <c r="T29" s="234"/>
      <c r="U29" s="234"/>
      <c r="V29" s="234"/>
      <c r="W29" s="355">
        <f t="shared" si="1"/>
        <v>850</v>
      </c>
      <c r="X29" s="355">
        <f>'[2]JHS - Positions and Funding'!B29</f>
        <v>740</v>
      </c>
      <c r="Y29" s="355">
        <f t="shared" si="4"/>
        <v>110</v>
      </c>
      <c r="Z29" s="356">
        <f t="shared" si="5"/>
        <v>0.14864864864864866</v>
      </c>
      <c r="AA29" s="234"/>
      <c r="AB29" s="234"/>
      <c r="AC29" s="234"/>
      <c r="AD29" s="234"/>
    </row>
    <row r="30" spans="1:30" s="235" customFormat="1" ht="19.95" customHeight="1" x14ac:dyDescent="0.3">
      <c r="A30" s="439" t="s">
        <v>13</v>
      </c>
      <c r="B30" s="363">
        <v>1400</v>
      </c>
      <c r="C30" s="247" t="s">
        <v>57</v>
      </c>
      <c r="D30" s="248">
        <v>1</v>
      </c>
      <c r="E30" s="243" t="s">
        <v>79</v>
      </c>
      <c r="F30" s="288"/>
      <c r="G30" s="415" t="s">
        <v>123</v>
      </c>
      <c r="H30" s="437" t="s">
        <v>258</v>
      </c>
      <c r="I30" s="385">
        <v>1</v>
      </c>
      <c r="J30" s="385">
        <v>1</v>
      </c>
      <c r="K30" s="390">
        <v>1400</v>
      </c>
      <c r="L30" s="393">
        <f t="shared" si="0"/>
        <v>1477</v>
      </c>
      <c r="M30" s="393">
        <f t="shared" si="2"/>
        <v>462.89179999999999</v>
      </c>
      <c r="N30" s="393">
        <f t="shared" si="3"/>
        <v>1939.8917999999999</v>
      </c>
      <c r="O30" s="302"/>
      <c r="P30" s="234"/>
      <c r="Q30" s="234"/>
      <c r="R30" s="234"/>
      <c r="S30" s="256">
        <f>+B30+B31</f>
        <v>2250</v>
      </c>
      <c r="T30" s="256">
        <f>+S30*0.3134</f>
        <v>705.15</v>
      </c>
      <c r="U30" s="256">
        <f>+T30+S30</f>
        <v>2955.15</v>
      </c>
      <c r="V30" s="234"/>
      <c r="W30" s="355">
        <f t="shared" si="1"/>
        <v>1400</v>
      </c>
      <c r="X30" s="355">
        <f>'[2]JHS - Positions and Funding'!B30</f>
        <v>1224</v>
      </c>
      <c r="Y30" s="355">
        <f t="shared" si="4"/>
        <v>176</v>
      </c>
      <c r="Z30" s="356">
        <f t="shared" si="5"/>
        <v>0.1437908496732026</v>
      </c>
      <c r="AA30" s="234"/>
      <c r="AB30" s="234"/>
      <c r="AC30" s="234"/>
      <c r="AD30" s="234"/>
    </row>
    <row r="31" spans="1:30" s="235" customFormat="1" ht="19.95" customHeight="1" thickBot="1" x14ac:dyDescent="0.35">
      <c r="A31" s="440"/>
      <c r="B31" s="362">
        <v>850</v>
      </c>
      <c r="C31" s="244" t="s">
        <v>56</v>
      </c>
      <c r="D31" s="245">
        <v>1</v>
      </c>
      <c r="E31" s="246" t="s">
        <v>79</v>
      </c>
      <c r="F31" s="291" t="s">
        <v>187</v>
      </c>
      <c r="G31" s="416"/>
      <c r="H31" s="438"/>
      <c r="I31" s="384">
        <v>1</v>
      </c>
      <c r="J31" s="384">
        <v>1</v>
      </c>
      <c r="K31" s="389">
        <v>850</v>
      </c>
      <c r="L31" s="392">
        <f t="shared" si="0"/>
        <v>897</v>
      </c>
      <c r="M31" s="392">
        <f t="shared" si="2"/>
        <v>281.1198</v>
      </c>
      <c r="N31" s="392">
        <f t="shared" si="3"/>
        <v>1178.1197999999999</v>
      </c>
      <c r="O31" s="306"/>
      <c r="P31" s="234"/>
      <c r="Q31" s="234"/>
      <c r="R31" s="234"/>
      <c r="S31" s="234"/>
      <c r="T31" s="234"/>
      <c r="U31" s="234"/>
      <c r="V31" s="234"/>
      <c r="W31" s="355">
        <f t="shared" si="1"/>
        <v>850</v>
      </c>
      <c r="X31" s="355">
        <f>'[2]JHS - Positions and Funding'!B31</f>
        <v>740</v>
      </c>
      <c r="Y31" s="355">
        <f t="shared" si="4"/>
        <v>110</v>
      </c>
      <c r="Z31" s="356">
        <f t="shared" si="5"/>
        <v>0.14864864864864866</v>
      </c>
      <c r="AA31" s="234"/>
      <c r="AB31" s="234"/>
      <c r="AC31" s="234"/>
      <c r="AD31" s="234"/>
    </row>
    <row r="32" spans="1:30" ht="6" customHeight="1" x14ac:dyDescent="0.3">
      <c r="A32" s="233"/>
      <c r="B32" s="233"/>
      <c r="C32" s="233"/>
      <c r="D32" s="233"/>
      <c r="E32" s="233"/>
      <c r="F32" s="233"/>
      <c r="G32" s="233"/>
      <c r="H32" s="233"/>
      <c r="I32" s="386"/>
      <c r="J32" s="387"/>
      <c r="K32" s="233"/>
      <c r="L32" s="233"/>
      <c r="M32" s="233"/>
      <c r="N32" s="233"/>
      <c r="O32" s="254"/>
      <c r="P32" s="254"/>
      <c r="Q32" s="254"/>
      <c r="R32" s="254"/>
      <c r="S32" s="253">
        <f>SUM(S6:S31)</f>
        <v>16100</v>
      </c>
      <c r="T32" s="253">
        <f t="shared" ref="T32:U32" si="6">SUM(T6:T31)</f>
        <v>5045.74</v>
      </c>
      <c r="U32" s="253">
        <f t="shared" si="6"/>
        <v>21145.74</v>
      </c>
    </row>
    <row r="33" spans="1:26" x14ac:dyDescent="0.3">
      <c r="A33" s="251" t="s">
        <v>65</v>
      </c>
      <c r="B33" s="233"/>
      <c r="C33" s="233"/>
      <c r="D33" s="233"/>
      <c r="E33" s="233"/>
      <c r="F33" s="233"/>
      <c r="G33" s="233"/>
      <c r="H33" s="233"/>
      <c r="I33" s="386"/>
      <c r="J33" s="254" t="s">
        <v>235</v>
      </c>
      <c r="K33" s="394">
        <f>SUM(K6:K32)</f>
        <v>16100</v>
      </c>
      <c r="L33" s="394">
        <f>SUM(L6:L32)</f>
        <v>16988</v>
      </c>
      <c r="M33" s="394">
        <f>SUM(M6:M32)</f>
        <v>5324.0392000000011</v>
      </c>
      <c r="N33" s="394">
        <f>SUM(N6:N32)</f>
        <v>22312.039200000003</v>
      </c>
      <c r="O33" s="254"/>
      <c r="P33" s="254"/>
      <c r="Q33" s="254"/>
      <c r="R33" s="254"/>
      <c r="S33" s="158">
        <v>5</v>
      </c>
      <c r="T33" s="158">
        <v>5</v>
      </c>
      <c r="U33" s="158">
        <v>5</v>
      </c>
      <c r="V33" s="349" t="s">
        <v>276</v>
      </c>
      <c r="W33" s="256">
        <f>SUM(W6:W31)</f>
        <v>16100</v>
      </c>
      <c r="X33" s="256">
        <f>SUM(X6:X31)</f>
        <v>20234</v>
      </c>
      <c r="Y33" s="350">
        <f t="shared" si="4"/>
        <v>-4134</v>
      </c>
      <c r="Z33" s="353">
        <f t="shared" ref="Z33" si="7">+Y33/X33</f>
        <v>-0.20430957793812396</v>
      </c>
    </row>
    <row r="34" spans="1:26" ht="13.8" customHeight="1" thickBot="1" x14ac:dyDescent="0.35">
      <c r="A34" s="411" t="s">
        <v>86</v>
      </c>
      <c r="B34" s="411"/>
      <c r="C34" s="411"/>
      <c r="D34" s="411"/>
      <c r="E34" s="411"/>
      <c r="F34" s="411"/>
      <c r="G34" s="411"/>
      <c r="H34" s="411"/>
      <c r="J34" s="254" t="s">
        <v>236</v>
      </c>
      <c r="K34" s="158">
        <v>5</v>
      </c>
      <c r="L34" s="158">
        <v>5</v>
      </c>
      <c r="M34" s="158">
        <v>5</v>
      </c>
      <c r="N34" s="158">
        <v>5</v>
      </c>
      <c r="O34" s="254"/>
      <c r="P34" s="254"/>
      <c r="Q34" s="254"/>
      <c r="R34" s="254"/>
      <c r="S34" s="255">
        <f>+S32*S33</f>
        <v>80500</v>
      </c>
      <c r="T34" s="255">
        <f t="shared" ref="T34:U34" si="8">+T32*T33</f>
        <v>25228.699999999997</v>
      </c>
      <c r="U34" s="255">
        <f t="shared" si="8"/>
        <v>105728.70000000001</v>
      </c>
      <c r="V34" s="349" t="s">
        <v>275</v>
      </c>
      <c r="W34" s="256">
        <f>+W33*0.3134</f>
        <v>5045.74</v>
      </c>
      <c r="X34" s="256">
        <f>+X33*0.3134</f>
        <v>6341.3356000000003</v>
      </c>
      <c r="Y34" s="354">
        <f t="shared" si="4"/>
        <v>-1295.5956000000006</v>
      </c>
      <c r="Z34" s="353">
        <f t="shared" ref="Z34" si="9">+Y34/X34</f>
        <v>-0.20430957793812402</v>
      </c>
    </row>
    <row r="35" spans="1:26" x14ac:dyDescent="0.3">
      <c r="A35" s="411"/>
      <c r="B35" s="411"/>
      <c r="C35" s="411"/>
      <c r="D35" s="411"/>
      <c r="E35" s="411"/>
      <c r="F35" s="411"/>
      <c r="G35" s="411"/>
      <c r="H35" s="411"/>
      <c r="J35" s="254" t="s">
        <v>237</v>
      </c>
      <c r="K35" s="394">
        <f>+K33*K34</f>
        <v>80500</v>
      </c>
      <c r="L35" s="394">
        <f>+L33*L34</f>
        <v>84940</v>
      </c>
      <c r="M35" s="394">
        <f>+M33*M34</f>
        <v>26620.196000000004</v>
      </c>
      <c r="N35" s="394">
        <f>+N33*N34</f>
        <v>111560.19600000001</v>
      </c>
      <c r="O35" s="4"/>
      <c r="P35" s="4"/>
      <c r="Q35" s="4"/>
      <c r="R35" s="4"/>
      <c r="S35" s="252"/>
      <c r="T35" s="4"/>
      <c r="U35" s="3"/>
      <c r="V35" s="349" t="s">
        <v>277</v>
      </c>
      <c r="W35" s="352">
        <f>+W34+W33</f>
        <v>21145.739999999998</v>
      </c>
      <c r="X35" s="352">
        <f>+X34+X33</f>
        <v>26575.335599999999</v>
      </c>
      <c r="Y35" s="352">
        <f>+Y34+Y33</f>
        <v>-5429.5956000000006</v>
      </c>
      <c r="Z35" s="352">
        <f>+Z34+Z33</f>
        <v>-0.40861915587624797</v>
      </c>
    </row>
    <row r="36" spans="1:26" x14ac:dyDescent="0.3">
      <c r="A36" s="411" t="s">
        <v>188</v>
      </c>
      <c r="B36" s="411"/>
      <c r="C36" s="411"/>
      <c r="D36" s="411"/>
      <c r="E36" s="411"/>
      <c r="F36" s="411"/>
      <c r="G36" s="411"/>
      <c r="H36" s="411"/>
      <c r="J36" s="254"/>
      <c r="L36" s="158"/>
      <c r="M36" s="158"/>
      <c r="N36" s="158"/>
    </row>
    <row r="37" spans="1:26" x14ac:dyDescent="0.3">
      <c r="A37" s="411"/>
      <c r="B37" s="411"/>
      <c r="C37" s="411"/>
      <c r="D37" s="411"/>
      <c r="E37" s="411"/>
      <c r="F37" s="411"/>
      <c r="G37" s="411"/>
      <c r="H37" s="411"/>
      <c r="K37" s="254" t="s">
        <v>292</v>
      </c>
      <c r="L37" s="394">
        <f>+K35</f>
        <v>80500</v>
      </c>
      <c r="M37" s="394">
        <f>+L37*0.3134</f>
        <v>25228.7</v>
      </c>
      <c r="N37" s="323">
        <f>+L37+M37</f>
        <v>105728.7</v>
      </c>
      <c r="V37" s="254" t="s">
        <v>236</v>
      </c>
      <c r="W37" s="158">
        <v>5</v>
      </c>
      <c r="X37" s="158">
        <v>5</v>
      </c>
      <c r="Y37" s="351">
        <f t="shared" ref="Y37:Y38" si="10">+W37-X37</f>
        <v>0</v>
      </c>
      <c r="Z37" s="353">
        <f t="shared" ref="Z37:Z38" si="11">+Y37/X37</f>
        <v>0</v>
      </c>
    </row>
    <row r="38" spans="1:26" ht="14.4" thickBot="1" x14ac:dyDescent="0.35">
      <c r="A38" s="411"/>
      <c r="B38" s="411"/>
      <c r="C38" s="411"/>
      <c r="D38" s="411"/>
      <c r="E38" s="411"/>
      <c r="F38" s="411"/>
      <c r="G38" s="411"/>
      <c r="H38" s="411"/>
      <c r="K38" s="254" t="s">
        <v>266</v>
      </c>
      <c r="L38" s="323">
        <f>+L35-L37</f>
        <v>4440</v>
      </c>
      <c r="M38" s="323">
        <f t="shared" ref="M38:N38" si="12">+M35-M37</f>
        <v>1391.4960000000028</v>
      </c>
      <c r="N38" s="373">
        <f t="shared" si="12"/>
        <v>5831.4960000000137</v>
      </c>
      <c r="V38" s="254" t="s">
        <v>237</v>
      </c>
      <c r="W38" s="358">
        <f>+W35*W37</f>
        <v>105728.69999999998</v>
      </c>
      <c r="X38" s="358">
        <f>+X35*X37</f>
        <v>132876.67799999999</v>
      </c>
      <c r="Y38" s="359">
        <f t="shared" si="10"/>
        <v>-27147.978000000003</v>
      </c>
      <c r="Z38" s="357">
        <f t="shared" si="11"/>
        <v>-0.20430957793812399</v>
      </c>
    </row>
    <row r="39" spans="1:26" x14ac:dyDescent="0.3">
      <c r="A39" s="411"/>
      <c r="B39" s="411"/>
      <c r="C39" s="411"/>
      <c r="D39" s="411"/>
      <c r="E39" s="411"/>
      <c r="F39" s="411"/>
      <c r="G39" s="411"/>
      <c r="H39" s="411"/>
      <c r="K39" s="4"/>
      <c r="L39" s="162"/>
      <c r="M39" s="4"/>
      <c r="N39" s="329"/>
      <c r="V39" s="254"/>
    </row>
    <row r="40" spans="1:26" x14ac:dyDescent="0.3">
      <c r="K40" s="4"/>
      <c r="L40" s="4"/>
      <c r="M40" s="395" t="s">
        <v>267</v>
      </c>
      <c r="N40" s="330">
        <f>+N38/N37</f>
        <v>5.5155279503105718E-2</v>
      </c>
      <c r="V40" s="254"/>
    </row>
    <row r="41" spans="1:26" x14ac:dyDescent="0.3">
      <c r="K41" s="4"/>
      <c r="L41" s="3"/>
      <c r="M41" s="4"/>
      <c r="N41" s="3"/>
      <c r="V41" s="254"/>
    </row>
  </sheetData>
  <sheetProtection algorithmName="SHA-512" hashValue="ikoKZwa3UGIJEf3vmCiUAuVONegwiDyQrEd5qJDeYO/DP5u8txBzMg4ztknHGEv/SJ86itFCaCQ8jgG3jDgTKw==" saltValue="O5amFVsGT9y8f+0gDa9AGg==" spinCount="100000" sheet="1" selectLockedCells="1"/>
  <mergeCells count="43">
    <mergeCell ref="A12:A13"/>
    <mergeCell ref="E1:H1"/>
    <mergeCell ref="A4:H4"/>
    <mergeCell ref="A6:A7"/>
    <mergeCell ref="A8:A9"/>
    <mergeCell ref="A10:A11"/>
    <mergeCell ref="G6:G7"/>
    <mergeCell ref="H6:H7"/>
    <mergeCell ref="G8:G9"/>
    <mergeCell ref="H8:H9"/>
    <mergeCell ref="G10:G11"/>
    <mergeCell ref="H10:H11"/>
    <mergeCell ref="G12:G13"/>
    <mergeCell ref="H12:H13"/>
    <mergeCell ref="A28:A29"/>
    <mergeCell ref="A30:A31"/>
    <mergeCell ref="A34:H35"/>
    <mergeCell ref="A36:H39"/>
    <mergeCell ref="A14:A15"/>
    <mergeCell ref="A16:A17"/>
    <mergeCell ref="A18:A19"/>
    <mergeCell ref="A22:A23"/>
    <mergeCell ref="A24:A25"/>
    <mergeCell ref="A26:A27"/>
    <mergeCell ref="A20:A21"/>
    <mergeCell ref="G14:G15"/>
    <mergeCell ref="H14:H15"/>
    <mergeCell ref="G16:G17"/>
    <mergeCell ref="H16:H17"/>
    <mergeCell ref="G18:G19"/>
    <mergeCell ref="G30:G31"/>
    <mergeCell ref="H30:H31"/>
    <mergeCell ref="G24:G25"/>
    <mergeCell ref="H24:H25"/>
    <mergeCell ref="G26:G27"/>
    <mergeCell ref="H26:H27"/>
    <mergeCell ref="G28:G29"/>
    <mergeCell ref="H28:H29"/>
    <mergeCell ref="H18:H19"/>
    <mergeCell ref="G20:G21"/>
    <mergeCell ref="H20:H21"/>
    <mergeCell ref="G22:G23"/>
    <mergeCell ref="H22:H23"/>
  </mergeCells>
  <printOptions horizontalCentered="1"/>
  <pageMargins left="0.5" right="0.5" top="0.5" bottom="0.75" header="0.3" footer="0.25"/>
  <pageSetup scale="90" fitToHeight="0" orientation="portrait" r:id="rId1"/>
  <headerFooter>
    <oddFooter>&amp;LLast revised: January 2, 2024&amp;RPage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1:Q125"/>
  <sheetViews>
    <sheetView tabSelected="1" zoomScaleNormal="100" workbookViewId="0">
      <selection activeCell="C7" sqref="C7:F7"/>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thickBot="1" x14ac:dyDescent="0.3">
      <c r="A5" s="471" t="s">
        <v>192</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8"/>
      <c r="Q7" s="157"/>
    </row>
    <row r="8" spans="1:17" ht="19.95" customHeight="1" x14ac:dyDescent="0.3">
      <c r="A8" s="133"/>
      <c r="B8" s="17" t="s">
        <v>163</v>
      </c>
      <c r="C8" s="474"/>
      <c r="D8" s="474"/>
      <c r="E8" s="474"/>
      <c r="F8" s="474"/>
      <c r="G8" s="19"/>
      <c r="H8" s="19"/>
      <c r="I8" s="19"/>
      <c r="J8" s="19"/>
      <c r="K8" s="18"/>
      <c r="L8" s="18"/>
      <c r="M8" s="18"/>
      <c r="N8" s="17" t="s">
        <v>72</v>
      </c>
      <c r="O8" s="469" t="s">
        <v>155</v>
      </c>
      <c r="P8" s="470"/>
      <c r="Q8" s="126"/>
    </row>
    <row r="9" spans="1:17" ht="13.8" customHeight="1" thickBot="1" x14ac:dyDescent="0.3">
      <c r="A9" s="20"/>
      <c r="B9" s="21"/>
      <c r="C9" s="21"/>
      <c r="D9" s="21"/>
      <c r="E9" s="21"/>
      <c r="F9" s="21"/>
      <c r="G9" s="21"/>
      <c r="H9" s="21"/>
      <c r="I9" s="21"/>
      <c r="J9" s="21"/>
      <c r="K9" s="21"/>
      <c r="L9" s="21"/>
      <c r="M9" s="21"/>
      <c r="N9" s="21"/>
      <c r="O9" s="21"/>
      <c r="P9" s="21"/>
      <c r="Q9" s="22"/>
    </row>
    <row r="10" spans="1:17" ht="13.8" customHeight="1" x14ac:dyDescent="0.25">
      <c r="A10" s="92" t="s">
        <v>64</v>
      </c>
      <c r="B10" s="93"/>
      <c r="C10" s="93"/>
      <c r="D10" s="93"/>
      <c r="E10" s="93"/>
      <c r="F10" s="93"/>
      <c r="G10" s="94"/>
      <c r="H10" s="95" t="s">
        <v>65</v>
      </c>
      <c r="I10" s="96"/>
      <c r="J10" s="96"/>
      <c r="K10" s="97"/>
      <c r="L10" s="97"/>
      <c r="M10" s="97"/>
      <c r="N10" s="97"/>
      <c r="O10" s="97"/>
      <c r="P10" s="95"/>
      <c r="Q10" s="98"/>
    </row>
    <row r="11" spans="1:17"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Cross Country - Boys</v>
      </c>
      <c r="B12" s="201"/>
      <c r="C12" s="201"/>
      <c r="D12" s="187">
        <f>+P52</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+A53</f>
        <v>Cross Country - Girls</v>
      </c>
      <c r="B13" s="201"/>
      <c r="C13" s="201"/>
      <c r="D13" s="190">
        <f>+P56</f>
        <v>0</v>
      </c>
      <c r="E13" s="191">
        <f>ROUND(+D13*0.08,0)</f>
        <v>0</v>
      </c>
      <c r="F13" s="192">
        <f t="shared" ref="F13:F18" si="0">SUM(D13:E13)</f>
        <v>0</v>
      </c>
      <c r="G13" s="90"/>
      <c r="H13" s="111" t="s">
        <v>148</v>
      </c>
      <c r="I13" s="89"/>
      <c r="J13" s="89"/>
      <c r="K13" s="19"/>
      <c r="L13" s="108"/>
      <c r="M13" s="108"/>
      <c r="N13" s="108"/>
      <c r="O13" s="108"/>
      <c r="P13" s="109"/>
      <c r="Q13" s="110"/>
    </row>
    <row r="14" spans="1:17" ht="15" customHeight="1" x14ac:dyDescent="0.25">
      <c r="A14" s="200" t="str">
        <f>+A57</f>
        <v>Football</v>
      </c>
      <c r="B14" s="201"/>
      <c r="C14" s="201"/>
      <c r="D14" s="193">
        <f>+P73</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t="str">
        <f>+A74</f>
        <v>Golf - Boys</v>
      </c>
      <c r="B15" s="201"/>
      <c r="C15" s="201"/>
      <c r="D15" s="193">
        <f>+P77</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t="str">
        <f>+A78</f>
        <v>Soccer - Girls</v>
      </c>
      <c r="B16" s="201"/>
      <c r="C16" s="201"/>
      <c r="D16" s="194">
        <f>+P85</f>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t="str">
        <f>+A86</f>
        <v>Tennis - Girls</v>
      </c>
      <c r="B17" s="201"/>
      <c r="C17" s="201"/>
      <c r="D17" s="194">
        <f>+P89</f>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t="str">
        <f>+A90</f>
        <v>Volleyball - Girls</v>
      </c>
      <c r="B18" s="201"/>
      <c r="C18" s="201"/>
      <c r="D18" s="194">
        <f>+P98</f>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ref="F19" si="2">SUM(D19:E19)</f>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ref="F20:F25" si="3">SUM(D20:E20)</f>
        <v>0</v>
      </c>
      <c r="G20" s="90"/>
      <c r="H20" s="118" t="s">
        <v>203</v>
      </c>
      <c r="I20" s="89"/>
      <c r="J20" s="89"/>
      <c r="K20" s="19"/>
      <c r="L20" s="119"/>
      <c r="M20" s="119"/>
      <c r="N20" s="119"/>
      <c r="O20" s="119"/>
      <c r="P20" s="109"/>
      <c r="Q20" s="113"/>
    </row>
    <row r="21" spans="1:17" ht="15" customHeight="1" x14ac:dyDescent="0.3">
      <c r="A21" s="202"/>
      <c r="B21" s="203"/>
      <c r="C21" s="204"/>
      <c r="D21" s="194">
        <v>0</v>
      </c>
      <c r="E21" s="191">
        <f t="shared" si="1"/>
        <v>0</v>
      </c>
      <c r="F21" s="192">
        <f t="shared" si="3"/>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3"/>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f t="shared" si="3"/>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3"/>
        <v>0</v>
      </c>
      <c r="G24" s="90"/>
      <c r="H24" s="77"/>
      <c r="I24" s="27" t="s">
        <v>104</v>
      </c>
      <c r="J24" s="24"/>
      <c r="K24" s="24"/>
      <c r="L24" s="24"/>
      <c r="M24" s="119"/>
      <c r="N24" s="119"/>
      <c r="O24" s="119"/>
      <c r="P24" s="109"/>
      <c r="Q24" s="113"/>
    </row>
    <row r="25" spans="1:17" ht="15" customHeight="1" thickBot="1" x14ac:dyDescent="0.35">
      <c r="A25" s="202"/>
      <c r="B25" s="203"/>
      <c r="C25" s="204"/>
      <c r="D25" s="205">
        <v>0</v>
      </c>
      <c r="E25" s="269">
        <f t="shared" si="1"/>
        <v>0</v>
      </c>
      <c r="F25" s="206">
        <f t="shared" si="3"/>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0">
        <f>SUM(D12:D25)</f>
        <v>0</v>
      </c>
      <c r="E26" s="271">
        <f>+D26*0.08</f>
        <v>0</v>
      </c>
      <c r="F26" s="272">
        <f>SUM(D26:E26)</f>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ht="13.8" customHeight="1" x14ac:dyDescent="0.25">
      <c r="A38" s="139" t="s">
        <v>147</v>
      </c>
      <c r="B38" s="140"/>
      <c r="C38" s="140"/>
      <c r="D38" s="140"/>
      <c r="E38" s="140"/>
      <c r="F38" s="140"/>
      <c r="G38" s="140"/>
      <c r="H38" s="140"/>
      <c r="I38" s="140"/>
      <c r="J38" s="140"/>
      <c r="K38" s="140"/>
      <c r="L38" s="140"/>
      <c r="M38" s="140"/>
      <c r="N38" s="140"/>
      <c r="O38" s="140"/>
      <c r="P38" s="140"/>
      <c r="Q38" s="141"/>
    </row>
    <row r="39" spans="1:17" ht="30" customHeight="1" x14ac:dyDescent="0.25">
      <c r="A39" s="487" t="s">
        <v>248</v>
      </c>
      <c r="B39" s="488"/>
      <c r="C39" s="488"/>
      <c r="D39" s="488"/>
      <c r="E39" s="488"/>
      <c r="F39" s="488"/>
      <c r="G39" s="488"/>
      <c r="H39" s="488"/>
      <c r="I39" s="488"/>
      <c r="J39" s="488"/>
      <c r="K39" s="488"/>
      <c r="L39" s="488"/>
      <c r="M39" s="488"/>
      <c r="N39" s="488"/>
      <c r="O39" s="488"/>
      <c r="P39" s="488"/>
      <c r="Q39" s="489"/>
    </row>
    <row r="40" spans="1:17" ht="27" customHeight="1" x14ac:dyDescent="0.25">
      <c r="A40" s="490"/>
      <c r="B40" s="491"/>
      <c r="C40" s="491"/>
      <c r="D40" s="491"/>
      <c r="E40" s="491"/>
      <c r="F40" s="19"/>
      <c r="G40" s="492"/>
      <c r="H40" s="492"/>
      <c r="I40" s="88"/>
      <c r="J40" s="491"/>
      <c r="K40" s="491"/>
      <c r="L40" s="491"/>
      <c r="M40" s="491"/>
      <c r="N40" s="491"/>
      <c r="O40" s="19"/>
      <c r="P40" s="492"/>
      <c r="Q40" s="493"/>
    </row>
    <row r="41" spans="1:17"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478" t="s">
        <v>247</v>
      </c>
      <c r="B47" s="479"/>
      <c r="C47" s="479"/>
      <c r="D47" s="479"/>
      <c r="E47" s="479"/>
      <c r="F47" s="479"/>
      <c r="G47" s="479"/>
      <c r="H47" s="479"/>
      <c r="I47" s="479"/>
      <c r="J47" s="479"/>
      <c r="K47" s="479"/>
      <c r="L47" s="479"/>
      <c r="M47" s="479"/>
      <c r="N47" s="479"/>
      <c r="O47" s="479"/>
      <c r="P47" s="479"/>
      <c r="Q47" s="480"/>
    </row>
    <row r="48" spans="1:17" s="79" customFormat="1" ht="55.05" customHeight="1" thickBot="1" x14ac:dyDescent="0.3">
      <c r="A48" s="464" t="s">
        <v>50</v>
      </c>
      <c r="B48" s="465"/>
      <c r="C48" s="166" t="s">
        <v>249</v>
      </c>
      <c r="D48" s="167" t="s">
        <v>0</v>
      </c>
      <c r="E48" s="167"/>
      <c r="F48" s="166" t="s">
        <v>46</v>
      </c>
      <c r="G48" s="465" t="s">
        <v>133</v>
      </c>
      <c r="H48" s="465"/>
      <c r="I48" s="465"/>
      <c r="J48" s="166" t="s">
        <v>62</v>
      </c>
      <c r="K48" s="264" t="s">
        <v>138</v>
      </c>
      <c r="L48" s="264" t="s">
        <v>137</v>
      </c>
      <c r="M48" s="166" t="s">
        <v>34</v>
      </c>
      <c r="N48" s="264" t="s">
        <v>250</v>
      </c>
      <c r="O48" s="264" t="s">
        <v>139</v>
      </c>
      <c r="P48" s="166" t="s">
        <v>63</v>
      </c>
      <c r="Q48" s="265" t="s">
        <v>251</v>
      </c>
    </row>
    <row r="49" spans="1:17" ht="19.95" customHeight="1" x14ac:dyDescent="0.25">
      <c r="A49" s="452" t="s">
        <v>16</v>
      </c>
      <c r="B49" s="453"/>
      <c r="C49" s="475">
        <f>+'HS - Positions and Funding'!B26</f>
        <v>3675</v>
      </c>
      <c r="D49" s="446" t="s">
        <v>57</v>
      </c>
      <c r="E49" s="446"/>
      <c r="F49" s="168" t="s">
        <v>10</v>
      </c>
      <c r="G49" s="451"/>
      <c r="H49" s="451"/>
      <c r="I49" s="451"/>
      <c r="J49" s="169"/>
      <c r="K49" s="170"/>
      <c r="L49" s="170"/>
      <c r="M49" s="169"/>
      <c r="N49" s="171">
        <f>IF(M49&gt;0,HLOOKUP(F49,Tables!$D$3:$M$22,M49+1,0),0)</f>
        <v>0</v>
      </c>
      <c r="O49" s="172">
        <v>0</v>
      </c>
      <c r="P49" s="172">
        <v>0</v>
      </c>
      <c r="Q49" s="173">
        <f>SUM(O49:P49)</f>
        <v>0</v>
      </c>
    </row>
    <row r="50" spans="1:17" ht="19.95" customHeight="1" x14ac:dyDescent="0.25">
      <c r="A50" s="454"/>
      <c r="B50" s="455"/>
      <c r="C50" s="476"/>
      <c r="D50" s="445" t="s">
        <v>56</v>
      </c>
      <c r="E50" s="445"/>
      <c r="F50" s="174" t="s">
        <v>78</v>
      </c>
      <c r="G50" s="450"/>
      <c r="H50" s="450"/>
      <c r="I50" s="450"/>
      <c r="J50" s="175"/>
      <c r="K50" s="175"/>
      <c r="L50" s="175"/>
      <c r="M50" s="175"/>
      <c r="N50" s="176">
        <f>IF(M50&gt;0,HLOOKUP(F50,Tables!$D$3:$M$22,M50+1,0),0)</f>
        <v>0</v>
      </c>
      <c r="O50" s="177">
        <v>0</v>
      </c>
      <c r="P50" s="177">
        <v>0</v>
      </c>
      <c r="Q50" s="178">
        <f t="shared" ref="Q50:Q52" si="4">SUM(O50:P50)</f>
        <v>0</v>
      </c>
    </row>
    <row r="51" spans="1:17" ht="19.95" customHeight="1" x14ac:dyDescent="0.25">
      <c r="A51" s="454"/>
      <c r="B51" s="455"/>
      <c r="C51" s="476"/>
      <c r="D51" s="445" t="s">
        <v>56</v>
      </c>
      <c r="E51" s="445"/>
      <c r="F51" s="174" t="s">
        <v>78</v>
      </c>
      <c r="G51" s="450"/>
      <c r="H51" s="450"/>
      <c r="I51" s="450"/>
      <c r="J51" s="175"/>
      <c r="K51" s="195"/>
      <c r="L51" s="195"/>
      <c r="M51" s="175"/>
      <c r="N51" s="196">
        <f>IF(M51&gt;0,HLOOKUP(F51,Tables!$D$3:$M$22,M51+1,0),0)</f>
        <v>0</v>
      </c>
      <c r="O51" s="177">
        <v>0</v>
      </c>
      <c r="P51" s="177">
        <v>0</v>
      </c>
      <c r="Q51" s="178">
        <f t="shared" si="4"/>
        <v>0</v>
      </c>
    </row>
    <row r="52" spans="1:17" s="142" customFormat="1" ht="19.95" customHeight="1" thickBot="1" x14ac:dyDescent="0.35">
      <c r="A52" s="456"/>
      <c r="B52" s="457"/>
      <c r="C52" s="477"/>
      <c r="D52" s="447" t="str">
        <f>CONCATENATE(A49," Totals")</f>
        <v>Cross Country - Boys Totals</v>
      </c>
      <c r="E52" s="448"/>
      <c r="F52" s="448"/>
      <c r="G52" s="448"/>
      <c r="H52" s="448"/>
      <c r="I52" s="448"/>
      <c r="J52" s="448"/>
      <c r="K52" s="448"/>
      <c r="L52" s="448"/>
      <c r="M52" s="449"/>
      <c r="N52" s="180">
        <f>SUM(N49:N51)</f>
        <v>0</v>
      </c>
      <c r="O52" s="180">
        <f t="shared" ref="O52:P52" si="5">SUM(O49:O51)</f>
        <v>0</v>
      </c>
      <c r="P52" s="180">
        <f t="shared" si="5"/>
        <v>0</v>
      </c>
      <c r="Q52" s="181">
        <f t="shared" si="4"/>
        <v>0</v>
      </c>
    </row>
    <row r="53" spans="1:17" ht="19.95" customHeight="1" x14ac:dyDescent="0.25">
      <c r="A53" s="452" t="s">
        <v>17</v>
      </c>
      <c r="B53" s="453"/>
      <c r="C53" s="475">
        <f>+'HS - Positions and Funding'!B28</f>
        <v>3675</v>
      </c>
      <c r="D53" s="446" t="s">
        <v>57</v>
      </c>
      <c r="E53" s="446"/>
      <c r="F53" s="168" t="s">
        <v>10</v>
      </c>
      <c r="G53" s="451"/>
      <c r="H53" s="451"/>
      <c r="I53" s="451"/>
      <c r="J53" s="169"/>
      <c r="K53" s="170"/>
      <c r="L53" s="170"/>
      <c r="M53" s="169"/>
      <c r="N53" s="171">
        <f>IF(M53&gt;0,HLOOKUP(F53,Tables!$D$3:$M$22,M53+1,0),0)</f>
        <v>0</v>
      </c>
      <c r="O53" s="172">
        <v>0</v>
      </c>
      <c r="P53" s="172">
        <v>0</v>
      </c>
      <c r="Q53" s="173">
        <f>SUM(O53:P53)</f>
        <v>0</v>
      </c>
    </row>
    <row r="54" spans="1:17" ht="19.95" customHeight="1" x14ac:dyDescent="0.25">
      <c r="A54" s="454"/>
      <c r="B54" s="455"/>
      <c r="C54" s="476"/>
      <c r="D54" s="445" t="s">
        <v>56</v>
      </c>
      <c r="E54" s="445"/>
      <c r="F54" s="174" t="s">
        <v>78</v>
      </c>
      <c r="G54" s="450"/>
      <c r="H54" s="450"/>
      <c r="I54" s="450"/>
      <c r="J54" s="175"/>
      <c r="K54" s="175"/>
      <c r="L54" s="175"/>
      <c r="M54" s="175"/>
      <c r="N54" s="176">
        <f>IF(M54&gt;0,HLOOKUP(F54,Tables!$D$3:$M$22,M54+1,0),0)</f>
        <v>0</v>
      </c>
      <c r="O54" s="177">
        <v>0</v>
      </c>
      <c r="P54" s="177">
        <v>0</v>
      </c>
      <c r="Q54" s="178">
        <f t="shared" ref="Q54:Q56" si="6">SUM(O54:P54)</f>
        <v>0</v>
      </c>
    </row>
    <row r="55" spans="1:17" ht="19.95" customHeight="1" x14ac:dyDescent="0.25">
      <c r="A55" s="454"/>
      <c r="B55" s="455"/>
      <c r="C55" s="476"/>
      <c r="D55" s="445" t="s">
        <v>56</v>
      </c>
      <c r="E55" s="445"/>
      <c r="F55" s="174" t="s">
        <v>78</v>
      </c>
      <c r="G55" s="450"/>
      <c r="H55" s="450"/>
      <c r="I55" s="450"/>
      <c r="J55" s="175"/>
      <c r="K55" s="195"/>
      <c r="L55" s="195"/>
      <c r="M55" s="175"/>
      <c r="N55" s="196">
        <f>IF(M55&gt;0,HLOOKUP(F55,Tables!$D$3:$M$22,M55+1,0),0)</f>
        <v>0</v>
      </c>
      <c r="O55" s="177">
        <v>0</v>
      </c>
      <c r="P55" s="177">
        <v>0</v>
      </c>
      <c r="Q55" s="178">
        <f t="shared" si="6"/>
        <v>0</v>
      </c>
    </row>
    <row r="56" spans="1:17" s="143" customFormat="1" ht="19.95" customHeight="1" thickBot="1" x14ac:dyDescent="0.35">
      <c r="A56" s="456"/>
      <c r="B56" s="457"/>
      <c r="C56" s="477"/>
      <c r="D56" s="447" t="str">
        <f>CONCATENATE(A53," Totals")</f>
        <v>Cross Country - Girls Totals</v>
      </c>
      <c r="E56" s="448"/>
      <c r="F56" s="448"/>
      <c r="G56" s="448"/>
      <c r="H56" s="448"/>
      <c r="I56" s="448"/>
      <c r="J56" s="448"/>
      <c r="K56" s="448"/>
      <c r="L56" s="448"/>
      <c r="M56" s="449"/>
      <c r="N56" s="180">
        <f>SUM(N53:N55)</f>
        <v>0</v>
      </c>
      <c r="O56" s="180">
        <f t="shared" ref="O56" si="7">SUM(O53:O55)</f>
        <v>0</v>
      </c>
      <c r="P56" s="180">
        <f t="shared" ref="P56" si="8">SUM(P53:P55)</f>
        <v>0</v>
      </c>
      <c r="Q56" s="181">
        <f t="shared" si="6"/>
        <v>0</v>
      </c>
    </row>
    <row r="57" spans="1:17" ht="19.95" customHeight="1" x14ac:dyDescent="0.25">
      <c r="A57" s="452" t="s">
        <v>3</v>
      </c>
      <c r="B57" s="453"/>
      <c r="C57" s="475">
        <f>+'HS - Positions and Funding'!B40</f>
        <v>31082</v>
      </c>
      <c r="D57" s="446" t="s">
        <v>57</v>
      </c>
      <c r="E57" s="446"/>
      <c r="F57" s="168" t="s">
        <v>2</v>
      </c>
      <c r="G57" s="451"/>
      <c r="H57" s="451"/>
      <c r="I57" s="451"/>
      <c r="J57" s="169"/>
      <c r="K57" s="170"/>
      <c r="L57" s="170"/>
      <c r="M57" s="169"/>
      <c r="N57" s="171">
        <f>IF(M57&gt;0,HLOOKUP(F57,Tables!$D$3:$M$22,M57+1,0),0)</f>
        <v>0</v>
      </c>
      <c r="O57" s="172">
        <v>0</v>
      </c>
      <c r="P57" s="172">
        <v>0</v>
      </c>
      <c r="Q57" s="173">
        <f>SUM(O57:P57)</f>
        <v>0</v>
      </c>
    </row>
    <row r="58" spans="1:17" ht="19.95" customHeight="1" x14ac:dyDescent="0.25">
      <c r="A58" s="494"/>
      <c r="B58" s="495"/>
      <c r="C58" s="496"/>
      <c r="D58" s="445" t="s">
        <v>56</v>
      </c>
      <c r="E58" s="445"/>
      <c r="F58" s="174" t="s">
        <v>77</v>
      </c>
      <c r="G58" s="450"/>
      <c r="H58" s="450"/>
      <c r="I58" s="450"/>
      <c r="J58" s="175"/>
      <c r="K58" s="175"/>
      <c r="L58" s="175"/>
      <c r="M58" s="175"/>
      <c r="N58" s="176">
        <f>IF(M58&gt;0,HLOOKUP(F58,Tables!$D$3:$M$22,M58+1,0),0)</f>
        <v>0</v>
      </c>
      <c r="O58" s="177">
        <v>0</v>
      </c>
      <c r="P58" s="177">
        <v>0</v>
      </c>
      <c r="Q58" s="178">
        <f t="shared" ref="Q58:Q67" si="9">SUM(O58:P58)</f>
        <v>0</v>
      </c>
    </row>
    <row r="59" spans="1:17" ht="19.95" customHeight="1" x14ac:dyDescent="0.25">
      <c r="A59" s="494"/>
      <c r="B59" s="495"/>
      <c r="C59" s="496"/>
      <c r="D59" s="445" t="s">
        <v>56</v>
      </c>
      <c r="E59" s="445"/>
      <c r="F59" s="174" t="s">
        <v>77</v>
      </c>
      <c r="G59" s="450"/>
      <c r="H59" s="450"/>
      <c r="I59" s="450"/>
      <c r="J59" s="175"/>
      <c r="K59" s="175"/>
      <c r="L59" s="175"/>
      <c r="M59" s="175"/>
      <c r="N59" s="176">
        <f>IF(M59&gt;0,HLOOKUP(F59,Tables!$D$3:$M$22,M59+1,0),0)</f>
        <v>0</v>
      </c>
      <c r="O59" s="177">
        <v>0</v>
      </c>
      <c r="P59" s="177">
        <v>0</v>
      </c>
      <c r="Q59" s="178">
        <f t="shared" si="9"/>
        <v>0</v>
      </c>
    </row>
    <row r="60" spans="1:17" ht="19.95" customHeight="1" x14ac:dyDescent="0.25">
      <c r="A60" s="494"/>
      <c r="B60" s="495"/>
      <c r="C60" s="496"/>
      <c r="D60" s="445" t="s">
        <v>56</v>
      </c>
      <c r="E60" s="445"/>
      <c r="F60" s="174" t="s">
        <v>77</v>
      </c>
      <c r="G60" s="450"/>
      <c r="H60" s="450"/>
      <c r="I60" s="450"/>
      <c r="J60" s="175"/>
      <c r="K60" s="175"/>
      <c r="L60" s="175"/>
      <c r="M60" s="175"/>
      <c r="N60" s="176">
        <f>IF(M60&gt;0,HLOOKUP(F60,Tables!$D$3:$M$22,M60+1,0),0)</f>
        <v>0</v>
      </c>
      <c r="O60" s="177">
        <v>0</v>
      </c>
      <c r="P60" s="177">
        <v>0</v>
      </c>
      <c r="Q60" s="178">
        <f t="shared" si="9"/>
        <v>0</v>
      </c>
    </row>
    <row r="61" spans="1:17" ht="19.95" customHeight="1" x14ac:dyDescent="0.25">
      <c r="A61" s="494"/>
      <c r="B61" s="495"/>
      <c r="C61" s="496"/>
      <c r="D61" s="445" t="s">
        <v>56</v>
      </c>
      <c r="E61" s="445"/>
      <c r="F61" s="174" t="s">
        <v>77</v>
      </c>
      <c r="G61" s="450"/>
      <c r="H61" s="450"/>
      <c r="I61" s="450"/>
      <c r="J61" s="175"/>
      <c r="K61" s="175"/>
      <c r="L61" s="175"/>
      <c r="M61" s="175"/>
      <c r="N61" s="176">
        <f>IF(M61&gt;0,HLOOKUP(F61,Tables!$D$3:$M$22,M61+1,0),0)</f>
        <v>0</v>
      </c>
      <c r="O61" s="177">
        <v>0</v>
      </c>
      <c r="P61" s="177">
        <v>0</v>
      </c>
      <c r="Q61" s="178">
        <f t="shared" si="9"/>
        <v>0</v>
      </c>
    </row>
    <row r="62" spans="1:17" ht="19.95" customHeight="1" x14ac:dyDescent="0.25">
      <c r="A62" s="494"/>
      <c r="B62" s="495"/>
      <c r="C62" s="496"/>
      <c r="D62" s="445" t="s">
        <v>56</v>
      </c>
      <c r="E62" s="445"/>
      <c r="F62" s="174" t="s">
        <v>77</v>
      </c>
      <c r="G62" s="450"/>
      <c r="H62" s="450"/>
      <c r="I62" s="450"/>
      <c r="J62" s="175"/>
      <c r="K62" s="175"/>
      <c r="L62" s="175"/>
      <c r="M62" s="175"/>
      <c r="N62" s="176">
        <f>IF(M62&gt;0,HLOOKUP(F62,Tables!$D$3:$M$22,M62+1,0),0)</f>
        <v>0</v>
      </c>
      <c r="O62" s="177">
        <v>0</v>
      </c>
      <c r="P62" s="177">
        <v>0</v>
      </c>
      <c r="Q62" s="178">
        <f t="shared" si="9"/>
        <v>0</v>
      </c>
    </row>
    <row r="63" spans="1:17" ht="19.95" customHeight="1" x14ac:dyDescent="0.25">
      <c r="A63" s="494"/>
      <c r="B63" s="495"/>
      <c r="C63" s="496"/>
      <c r="D63" s="445" t="s">
        <v>56</v>
      </c>
      <c r="E63" s="445"/>
      <c r="F63" s="174" t="s">
        <v>77</v>
      </c>
      <c r="G63" s="450"/>
      <c r="H63" s="450"/>
      <c r="I63" s="450"/>
      <c r="J63" s="175"/>
      <c r="K63" s="175"/>
      <c r="L63" s="175"/>
      <c r="M63" s="175"/>
      <c r="N63" s="176">
        <f>IF(M63&gt;0,HLOOKUP(F63,Tables!$D$3:$M$22,M63+1,0),0)</f>
        <v>0</v>
      </c>
      <c r="O63" s="177">
        <v>0</v>
      </c>
      <c r="P63" s="177">
        <v>0</v>
      </c>
      <c r="Q63" s="178">
        <f t="shared" si="9"/>
        <v>0</v>
      </c>
    </row>
    <row r="64" spans="1:17" ht="19.95" customHeight="1" x14ac:dyDescent="0.25">
      <c r="A64" s="494"/>
      <c r="B64" s="495"/>
      <c r="C64" s="496"/>
      <c r="D64" s="445" t="s">
        <v>56</v>
      </c>
      <c r="E64" s="445"/>
      <c r="F64" s="174" t="s">
        <v>77</v>
      </c>
      <c r="G64" s="450"/>
      <c r="H64" s="450"/>
      <c r="I64" s="450"/>
      <c r="J64" s="175"/>
      <c r="K64" s="175"/>
      <c r="L64" s="175"/>
      <c r="M64" s="175"/>
      <c r="N64" s="176">
        <f>IF(M64&gt;0,HLOOKUP(F64,Tables!$D$3:$M$22,M64+1,0),0)</f>
        <v>0</v>
      </c>
      <c r="O64" s="177">
        <v>0</v>
      </c>
      <c r="P64" s="177">
        <v>0</v>
      </c>
      <c r="Q64" s="178">
        <f t="shared" si="9"/>
        <v>0</v>
      </c>
    </row>
    <row r="65" spans="1:17" ht="19.95" customHeight="1" x14ac:dyDescent="0.25">
      <c r="A65" s="494"/>
      <c r="B65" s="495"/>
      <c r="C65" s="496"/>
      <c r="D65" s="445" t="s">
        <v>56</v>
      </c>
      <c r="E65" s="445"/>
      <c r="F65" s="174" t="s">
        <v>77</v>
      </c>
      <c r="G65" s="450"/>
      <c r="H65" s="450"/>
      <c r="I65" s="450"/>
      <c r="J65" s="175"/>
      <c r="K65" s="175"/>
      <c r="L65" s="175"/>
      <c r="M65" s="175"/>
      <c r="N65" s="176">
        <f>IF(M65&gt;0,HLOOKUP(F65,Tables!$D$3:$M$22,M65+1,0),0)</f>
        <v>0</v>
      </c>
      <c r="O65" s="177">
        <v>0</v>
      </c>
      <c r="P65" s="177">
        <v>0</v>
      </c>
      <c r="Q65" s="178">
        <f t="shared" si="9"/>
        <v>0</v>
      </c>
    </row>
    <row r="66" spans="1:17" ht="19.95" customHeight="1" x14ac:dyDescent="0.25">
      <c r="A66" s="494"/>
      <c r="B66" s="495"/>
      <c r="C66" s="496"/>
      <c r="D66" s="445" t="s">
        <v>56</v>
      </c>
      <c r="E66" s="445"/>
      <c r="F66" s="174" t="s">
        <v>77</v>
      </c>
      <c r="G66" s="450"/>
      <c r="H66" s="450"/>
      <c r="I66" s="450"/>
      <c r="J66" s="175"/>
      <c r="K66" s="175"/>
      <c r="L66" s="175"/>
      <c r="M66" s="175"/>
      <c r="N66" s="176">
        <f>IF(M66&gt;0,HLOOKUP(F66,Tables!$D$3:$M$22,M66+1,0),0)</f>
        <v>0</v>
      </c>
      <c r="O66" s="177">
        <v>0</v>
      </c>
      <c r="P66" s="177">
        <v>0</v>
      </c>
      <c r="Q66" s="178">
        <f t="shared" si="9"/>
        <v>0</v>
      </c>
    </row>
    <row r="67" spans="1:17" ht="19.95" customHeight="1" x14ac:dyDescent="0.25">
      <c r="A67" s="494"/>
      <c r="B67" s="495"/>
      <c r="C67" s="496"/>
      <c r="D67" s="445" t="s">
        <v>56</v>
      </c>
      <c r="E67" s="445"/>
      <c r="F67" s="174" t="s">
        <v>77</v>
      </c>
      <c r="G67" s="450"/>
      <c r="H67" s="450"/>
      <c r="I67" s="450"/>
      <c r="J67" s="175"/>
      <c r="K67" s="175"/>
      <c r="L67" s="175"/>
      <c r="M67" s="175"/>
      <c r="N67" s="176">
        <f>IF(M67&gt;0,HLOOKUP(F67,Tables!$D$3:$M$22,M67+1,0),0)</f>
        <v>0</v>
      </c>
      <c r="O67" s="177">
        <v>0</v>
      </c>
      <c r="P67" s="177">
        <v>0</v>
      </c>
      <c r="Q67" s="178">
        <f t="shared" si="9"/>
        <v>0</v>
      </c>
    </row>
    <row r="68" spans="1:17" ht="19.95" customHeight="1" x14ac:dyDescent="0.25">
      <c r="A68" s="454"/>
      <c r="B68" s="455"/>
      <c r="C68" s="476"/>
      <c r="D68" s="445" t="s">
        <v>56</v>
      </c>
      <c r="E68" s="445"/>
      <c r="F68" s="174" t="s">
        <v>77</v>
      </c>
      <c r="G68" s="450"/>
      <c r="H68" s="450"/>
      <c r="I68" s="450"/>
      <c r="J68" s="175"/>
      <c r="K68" s="175"/>
      <c r="L68" s="175"/>
      <c r="M68" s="175"/>
      <c r="N68" s="176">
        <f>IF(M68&gt;0,HLOOKUP(F68,Tables!$D$3:$M$22,M68+1,0),0)</f>
        <v>0</v>
      </c>
      <c r="O68" s="177">
        <v>0</v>
      </c>
      <c r="P68" s="177">
        <v>0</v>
      </c>
      <c r="Q68" s="178">
        <f t="shared" ref="Q68:Q73" si="10">SUM(O68:P68)</f>
        <v>0</v>
      </c>
    </row>
    <row r="69" spans="1:17" ht="19.95" customHeight="1" x14ac:dyDescent="0.25">
      <c r="A69" s="454"/>
      <c r="B69" s="455"/>
      <c r="C69" s="476"/>
      <c r="D69" s="445" t="s">
        <v>56</v>
      </c>
      <c r="E69" s="445"/>
      <c r="F69" s="174" t="s">
        <v>77</v>
      </c>
      <c r="G69" s="450"/>
      <c r="H69" s="450"/>
      <c r="I69" s="450"/>
      <c r="J69" s="175"/>
      <c r="K69" s="175"/>
      <c r="L69" s="175"/>
      <c r="M69" s="175"/>
      <c r="N69" s="176">
        <f>IF(M69&gt;0,HLOOKUP(F69,Tables!$D$3:$M$22,M69+1,0),0)</f>
        <v>0</v>
      </c>
      <c r="O69" s="177">
        <v>0</v>
      </c>
      <c r="P69" s="177">
        <v>0</v>
      </c>
      <c r="Q69" s="178">
        <f t="shared" ref="Q69:Q71" si="11">SUM(O69:P69)</f>
        <v>0</v>
      </c>
    </row>
    <row r="70" spans="1:17" ht="19.95" customHeight="1" x14ac:dyDescent="0.25">
      <c r="A70" s="454"/>
      <c r="B70" s="455"/>
      <c r="C70" s="476"/>
      <c r="D70" s="445" t="s">
        <v>56</v>
      </c>
      <c r="E70" s="445"/>
      <c r="F70" s="174" t="s">
        <v>77</v>
      </c>
      <c r="G70" s="450"/>
      <c r="H70" s="450"/>
      <c r="I70" s="450"/>
      <c r="J70" s="175"/>
      <c r="K70" s="175"/>
      <c r="L70" s="175"/>
      <c r="M70" s="175"/>
      <c r="N70" s="176">
        <f>IF(M70&gt;0,HLOOKUP(F70,Tables!$D$3:$M$22,M70+1,0),0)</f>
        <v>0</v>
      </c>
      <c r="O70" s="177">
        <v>0</v>
      </c>
      <c r="P70" s="177">
        <v>0</v>
      </c>
      <c r="Q70" s="178">
        <f t="shared" si="11"/>
        <v>0</v>
      </c>
    </row>
    <row r="71" spans="1:17" ht="19.95" customHeight="1" x14ac:dyDescent="0.25">
      <c r="A71" s="454"/>
      <c r="B71" s="455"/>
      <c r="C71" s="476"/>
      <c r="D71" s="445" t="s">
        <v>56</v>
      </c>
      <c r="E71" s="445"/>
      <c r="F71" s="174" t="s">
        <v>77</v>
      </c>
      <c r="G71" s="450"/>
      <c r="H71" s="450"/>
      <c r="I71" s="450"/>
      <c r="J71" s="175"/>
      <c r="K71" s="175"/>
      <c r="L71" s="175"/>
      <c r="M71" s="175"/>
      <c r="N71" s="176">
        <f>IF(M71&gt;0,HLOOKUP(F71,Tables!$D$3:$M$22,M71+1,0),0)</f>
        <v>0</v>
      </c>
      <c r="O71" s="177">
        <v>0</v>
      </c>
      <c r="P71" s="177">
        <v>0</v>
      </c>
      <c r="Q71" s="178">
        <f t="shared" si="11"/>
        <v>0</v>
      </c>
    </row>
    <row r="72" spans="1:17" ht="19.95" customHeight="1" x14ac:dyDescent="0.25">
      <c r="A72" s="454"/>
      <c r="B72" s="455"/>
      <c r="C72" s="476"/>
      <c r="D72" s="445" t="s">
        <v>56</v>
      </c>
      <c r="E72" s="445"/>
      <c r="F72" s="174" t="s">
        <v>77</v>
      </c>
      <c r="G72" s="450"/>
      <c r="H72" s="450"/>
      <c r="I72" s="450"/>
      <c r="J72" s="175"/>
      <c r="K72" s="195"/>
      <c r="L72" s="195"/>
      <c r="M72" s="175"/>
      <c r="N72" s="196">
        <f>IF(M72&gt;0,HLOOKUP(F72,Tables!$D$3:$M$22,M72+1,0),0)</f>
        <v>0</v>
      </c>
      <c r="O72" s="177">
        <v>0</v>
      </c>
      <c r="P72" s="177">
        <v>0</v>
      </c>
      <c r="Q72" s="178">
        <f t="shared" si="10"/>
        <v>0</v>
      </c>
    </row>
    <row r="73" spans="1:17" s="143" customFormat="1" ht="19.95" customHeight="1" thickBot="1" x14ac:dyDescent="0.35">
      <c r="A73" s="456"/>
      <c r="B73" s="457"/>
      <c r="C73" s="477"/>
      <c r="D73" s="447" t="str">
        <f>CONCATENATE(A57," Totals")</f>
        <v>Football Totals</v>
      </c>
      <c r="E73" s="448"/>
      <c r="F73" s="448"/>
      <c r="G73" s="448"/>
      <c r="H73" s="448"/>
      <c r="I73" s="448"/>
      <c r="J73" s="448"/>
      <c r="K73" s="448"/>
      <c r="L73" s="448"/>
      <c r="M73" s="449"/>
      <c r="N73" s="180">
        <f>SUM(N57:N72)</f>
        <v>0</v>
      </c>
      <c r="O73" s="180">
        <f t="shared" ref="O73" si="12">SUM(O57:O72)</f>
        <v>0</v>
      </c>
      <c r="P73" s="180">
        <f t="shared" ref="P73" si="13">SUM(P57:P72)</f>
        <v>0</v>
      </c>
      <c r="Q73" s="181">
        <f t="shared" si="10"/>
        <v>0</v>
      </c>
    </row>
    <row r="74" spans="1:17" ht="19.95" customHeight="1" x14ac:dyDescent="0.25">
      <c r="A74" s="452" t="s">
        <v>93</v>
      </c>
      <c r="B74" s="453"/>
      <c r="C74" s="475">
        <f>+'HS - Positions and Funding'!B42</f>
        <v>3675</v>
      </c>
      <c r="D74" s="446" t="s">
        <v>57</v>
      </c>
      <c r="E74" s="446"/>
      <c r="F74" s="168" t="s">
        <v>10</v>
      </c>
      <c r="G74" s="451"/>
      <c r="H74" s="451"/>
      <c r="I74" s="451"/>
      <c r="J74" s="169"/>
      <c r="K74" s="170"/>
      <c r="L74" s="170"/>
      <c r="M74" s="169"/>
      <c r="N74" s="171">
        <f>IF(M74&gt;0,HLOOKUP(F74,Tables!$D$3:$M$22,M74+1,0),0)</f>
        <v>0</v>
      </c>
      <c r="O74" s="172">
        <v>0</v>
      </c>
      <c r="P74" s="172">
        <v>0</v>
      </c>
      <c r="Q74" s="173">
        <f>SUM(O74:P74)</f>
        <v>0</v>
      </c>
    </row>
    <row r="75" spans="1:17" ht="19.95" customHeight="1" x14ac:dyDescent="0.25">
      <c r="A75" s="454"/>
      <c r="B75" s="455"/>
      <c r="C75" s="476"/>
      <c r="D75" s="445" t="s">
        <v>56</v>
      </c>
      <c r="E75" s="445"/>
      <c r="F75" s="174" t="s">
        <v>78</v>
      </c>
      <c r="G75" s="450"/>
      <c r="H75" s="450"/>
      <c r="I75" s="450"/>
      <c r="J75" s="175"/>
      <c r="K75" s="175"/>
      <c r="L75" s="175"/>
      <c r="M75" s="175"/>
      <c r="N75" s="176">
        <f>IF(M75&gt;0,HLOOKUP(F75,Tables!$D$3:$M$22,M75+1,0),0)</f>
        <v>0</v>
      </c>
      <c r="O75" s="177">
        <v>0</v>
      </c>
      <c r="P75" s="177">
        <v>0</v>
      </c>
      <c r="Q75" s="178">
        <f t="shared" ref="Q75:Q77" si="14">SUM(O75:P75)</f>
        <v>0</v>
      </c>
    </row>
    <row r="76" spans="1:17" ht="19.95" customHeight="1" x14ac:dyDescent="0.25">
      <c r="A76" s="454"/>
      <c r="B76" s="455"/>
      <c r="C76" s="476"/>
      <c r="D76" s="445" t="s">
        <v>56</v>
      </c>
      <c r="E76" s="445"/>
      <c r="F76" s="174" t="s">
        <v>78</v>
      </c>
      <c r="G76" s="450"/>
      <c r="H76" s="450"/>
      <c r="I76" s="450"/>
      <c r="J76" s="175"/>
      <c r="K76" s="195"/>
      <c r="L76" s="195"/>
      <c r="M76" s="175"/>
      <c r="N76" s="196">
        <f>IF(M76&gt;0,HLOOKUP(F76,Tables!$D$3:$M$22,M76+1,0),0)</f>
        <v>0</v>
      </c>
      <c r="O76" s="177">
        <v>0</v>
      </c>
      <c r="P76" s="177">
        <v>0</v>
      </c>
      <c r="Q76" s="178">
        <f t="shared" si="14"/>
        <v>0</v>
      </c>
    </row>
    <row r="77" spans="1:17" s="143" customFormat="1" ht="19.95" customHeight="1" thickBot="1" x14ac:dyDescent="0.35">
      <c r="A77" s="456"/>
      <c r="B77" s="457"/>
      <c r="C77" s="477"/>
      <c r="D77" s="447" t="str">
        <f>CONCATENATE(A74," Totals")</f>
        <v>Golf - Boys Totals</v>
      </c>
      <c r="E77" s="448"/>
      <c r="F77" s="448"/>
      <c r="G77" s="448"/>
      <c r="H77" s="448"/>
      <c r="I77" s="448"/>
      <c r="J77" s="448"/>
      <c r="K77" s="448"/>
      <c r="L77" s="448"/>
      <c r="M77" s="449"/>
      <c r="N77" s="180">
        <f>SUM(N74:N76)</f>
        <v>0</v>
      </c>
      <c r="O77" s="180">
        <f t="shared" ref="O77" si="15">SUM(O74:O76)</f>
        <v>0</v>
      </c>
      <c r="P77" s="180">
        <f t="shared" ref="P77" si="16">SUM(P74:P76)</f>
        <v>0</v>
      </c>
      <c r="Q77" s="181">
        <f t="shared" si="14"/>
        <v>0</v>
      </c>
    </row>
    <row r="78" spans="1:17" ht="19.95" customHeight="1" x14ac:dyDescent="0.25">
      <c r="A78" s="452" t="s">
        <v>19</v>
      </c>
      <c r="B78" s="453"/>
      <c r="C78" s="475">
        <f>+'HS - Positions and Funding'!B58</f>
        <v>11492</v>
      </c>
      <c r="D78" s="446" t="s">
        <v>57</v>
      </c>
      <c r="E78" s="446"/>
      <c r="F78" s="168" t="s">
        <v>22</v>
      </c>
      <c r="G78" s="451"/>
      <c r="H78" s="451"/>
      <c r="I78" s="451"/>
      <c r="J78" s="169"/>
      <c r="K78" s="170"/>
      <c r="L78" s="170"/>
      <c r="M78" s="169"/>
      <c r="N78" s="171">
        <f>IF(M78&gt;0,HLOOKUP(F78,Tables!$D$3:$M$22,M78+1,0),0)</f>
        <v>0</v>
      </c>
      <c r="O78" s="172">
        <v>0</v>
      </c>
      <c r="P78" s="172">
        <v>0</v>
      </c>
      <c r="Q78" s="173">
        <f>SUM(O78:P78)</f>
        <v>0</v>
      </c>
    </row>
    <row r="79" spans="1:17" ht="19.95" customHeight="1" x14ac:dyDescent="0.25">
      <c r="A79" s="454"/>
      <c r="B79" s="455"/>
      <c r="C79" s="476"/>
      <c r="D79" s="445" t="s">
        <v>56</v>
      </c>
      <c r="E79" s="445"/>
      <c r="F79" s="174" t="s">
        <v>23</v>
      </c>
      <c r="G79" s="450"/>
      <c r="H79" s="450"/>
      <c r="I79" s="450"/>
      <c r="J79" s="175"/>
      <c r="K79" s="175"/>
      <c r="L79" s="175"/>
      <c r="M79" s="175"/>
      <c r="N79" s="176">
        <f>IF(M79&gt;0,HLOOKUP(F79,Tables!$D$3:$M$22,M79+1,0),0)</f>
        <v>0</v>
      </c>
      <c r="O79" s="177">
        <v>0</v>
      </c>
      <c r="P79" s="177">
        <v>0</v>
      </c>
      <c r="Q79" s="178">
        <f t="shared" ref="Q79:Q85" si="17">SUM(O79:P79)</f>
        <v>0</v>
      </c>
    </row>
    <row r="80" spans="1:17" ht="19.95" customHeight="1" x14ac:dyDescent="0.25">
      <c r="A80" s="454"/>
      <c r="B80" s="455"/>
      <c r="C80" s="476"/>
      <c r="D80" s="445" t="s">
        <v>56</v>
      </c>
      <c r="E80" s="445"/>
      <c r="F80" s="174" t="s">
        <v>23</v>
      </c>
      <c r="G80" s="450"/>
      <c r="H80" s="450"/>
      <c r="I80" s="450"/>
      <c r="J80" s="175"/>
      <c r="K80" s="175"/>
      <c r="L80" s="175"/>
      <c r="M80" s="175"/>
      <c r="N80" s="176">
        <f>IF(M80&gt;0,HLOOKUP(F80,Tables!$D$3:$M$22,M80+1,0),0)</f>
        <v>0</v>
      </c>
      <c r="O80" s="177">
        <v>0</v>
      </c>
      <c r="P80" s="177">
        <v>0</v>
      </c>
      <c r="Q80" s="178">
        <f t="shared" ref="Q80:Q81" si="18">SUM(O80:P80)</f>
        <v>0</v>
      </c>
    </row>
    <row r="81" spans="1:17" ht="19.95" customHeight="1" x14ac:dyDescent="0.25">
      <c r="A81" s="454"/>
      <c r="B81" s="455"/>
      <c r="C81" s="476"/>
      <c r="D81" s="445" t="s">
        <v>56</v>
      </c>
      <c r="E81" s="445"/>
      <c r="F81" s="174" t="s">
        <v>23</v>
      </c>
      <c r="G81" s="450"/>
      <c r="H81" s="450"/>
      <c r="I81" s="450"/>
      <c r="J81" s="175"/>
      <c r="K81" s="175"/>
      <c r="L81" s="175"/>
      <c r="M81" s="175"/>
      <c r="N81" s="176">
        <f>IF(M81&gt;0,HLOOKUP(F81,Tables!$D$3:$M$22,M81+1,0),0)</f>
        <v>0</v>
      </c>
      <c r="O81" s="177">
        <v>0</v>
      </c>
      <c r="P81" s="177">
        <v>0</v>
      </c>
      <c r="Q81" s="178">
        <f t="shared" si="18"/>
        <v>0</v>
      </c>
    </row>
    <row r="82" spans="1:17" ht="19.95" customHeight="1" x14ac:dyDescent="0.25">
      <c r="A82" s="454"/>
      <c r="B82" s="455"/>
      <c r="C82" s="476"/>
      <c r="D82" s="445" t="s">
        <v>56</v>
      </c>
      <c r="E82" s="445"/>
      <c r="F82" s="174" t="s">
        <v>23</v>
      </c>
      <c r="G82" s="450"/>
      <c r="H82" s="450"/>
      <c r="I82" s="450"/>
      <c r="J82" s="175"/>
      <c r="K82" s="175"/>
      <c r="L82" s="175"/>
      <c r="M82" s="175"/>
      <c r="N82" s="176">
        <f>IF(M82&gt;0,HLOOKUP(F82,Tables!$D$3:$M$22,M82+1,0),0)</f>
        <v>0</v>
      </c>
      <c r="O82" s="177">
        <v>0</v>
      </c>
      <c r="P82" s="177">
        <v>0</v>
      </c>
      <c r="Q82" s="178">
        <f t="shared" ref="Q82" si="19">SUM(O82:P82)</f>
        <v>0</v>
      </c>
    </row>
    <row r="83" spans="1:17" ht="19.95" customHeight="1" x14ac:dyDescent="0.25">
      <c r="A83" s="454"/>
      <c r="B83" s="455"/>
      <c r="C83" s="476"/>
      <c r="D83" s="445" t="s">
        <v>56</v>
      </c>
      <c r="E83" s="445"/>
      <c r="F83" s="174" t="s">
        <v>23</v>
      </c>
      <c r="G83" s="450"/>
      <c r="H83" s="450"/>
      <c r="I83" s="450"/>
      <c r="J83" s="175"/>
      <c r="K83" s="175"/>
      <c r="L83" s="175"/>
      <c r="M83" s="175"/>
      <c r="N83" s="176">
        <f>IF(M83&gt;0,HLOOKUP(F83,Tables!$D$3:$M$22,M83+1,0),0)</f>
        <v>0</v>
      </c>
      <c r="O83" s="177">
        <v>0</v>
      </c>
      <c r="P83" s="177">
        <v>0</v>
      </c>
      <c r="Q83" s="178">
        <f t="shared" ref="Q83" si="20">SUM(O83:P83)</f>
        <v>0</v>
      </c>
    </row>
    <row r="84" spans="1:17" ht="19.95" customHeight="1" x14ac:dyDescent="0.25">
      <c r="A84" s="454"/>
      <c r="B84" s="455"/>
      <c r="C84" s="476"/>
      <c r="D84" s="445" t="s">
        <v>56</v>
      </c>
      <c r="E84" s="445"/>
      <c r="F84" s="174" t="s">
        <v>23</v>
      </c>
      <c r="G84" s="450"/>
      <c r="H84" s="450"/>
      <c r="I84" s="450"/>
      <c r="J84" s="175"/>
      <c r="K84" s="195"/>
      <c r="L84" s="195"/>
      <c r="M84" s="175"/>
      <c r="N84" s="196">
        <f>IF(M84&gt;0,HLOOKUP(F84,Tables!$D$3:$M$22,M84+1,0),0)</f>
        <v>0</v>
      </c>
      <c r="O84" s="177">
        <v>0</v>
      </c>
      <c r="P84" s="177">
        <v>0</v>
      </c>
      <c r="Q84" s="178">
        <f t="shared" si="17"/>
        <v>0</v>
      </c>
    </row>
    <row r="85" spans="1:17" s="143" customFormat="1" ht="19.95" customHeight="1" thickBot="1" x14ac:dyDescent="0.35">
      <c r="A85" s="456"/>
      <c r="B85" s="457"/>
      <c r="C85" s="477"/>
      <c r="D85" s="447" t="str">
        <f>CONCATENATE(A78," Totals")</f>
        <v>Soccer - Girls Totals</v>
      </c>
      <c r="E85" s="448"/>
      <c r="F85" s="448"/>
      <c r="G85" s="448"/>
      <c r="H85" s="448"/>
      <c r="I85" s="448"/>
      <c r="J85" s="448"/>
      <c r="K85" s="448"/>
      <c r="L85" s="448"/>
      <c r="M85" s="449"/>
      <c r="N85" s="180">
        <f>SUM(N78:N84)</f>
        <v>0</v>
      </c>
      <c r="O85" s="180">
        <f t="shared" ref="O85" si="21">SUM(O78:O84)</f>
        <v>0</v>
      </c>
      <c r="P85" s="180">
        <f t="shared" ref="P85" si="22">SUM(P78:P84)</f>
        <v>0</v>
      </c>
      <c r="Q85" s="181">
        <f t="shared" si="17"/>
        <v>0</v>
      </c>
    </row>
    <row r="86" spans="1:17" ht="19.95" customHeight="1" x14ac:dyDescent="0.25">
      <c r="A86" s="452" t="s">
        <v>15</v>
      </c>
      <c r="B86" s="453"/>
      <c r="C86" s="475">
        <f>+'HS - Positions and Funding'!B70</f>
        <v>4734</v>
      </c>
      <c r="D86" s="446" t="s">
        <v>57</v>
      </c>
      <c r="E86" s="446"/>
      <c r="F86" s="168" t="s">
        <v>5</v>
      </c>
      <c r="G86" s="451"/>
      <c r="H86" s="451"/>
      <c r="I86" s="451"/>
      <c r="J86" s="169"/>
      <c r="K86" s="170"/>
      <c r="L86" s="170"/>
      <c r="M86" s="169"/>
      <c r="N86" s="171">
        <f>IF(M86&gt;0,HLOOKUP(F86,Tables!$D$3:$M$22,M86+1,0),0)</f>
        <v>0</v>
      </c>
      <c r="O86" s="172">
        <v>0</v>
      </c>
      <c r="P86" s="172">
        <v>0</v>
      </c>
      <c r="Q86" s="173">
        <f>SUM(O86:P86)</f>
        <v>0</v>
      </c>
    </row>
    <row r="87" spans="1:17" ht="19.95" customHeight="1" x14ac:dyDescent="0.25">
      <c r="A87" s="454"/>
      <c r="B87" s="455"/>
      <c r="C87" s="476"/>
      <c r="D87" s="445" t="s">
        <v>56</v>
      </c>
      <c r="E87" s="445"/>
      <c r="F87" s="174" t="s">
        <v>47</v>
      </c>
      <c r="G87" s="450"/>
      <c r="H87" s="450"/>
      <c r="I87" s="450"/>
      <c r="J87" s="175"/>
      <c r="K87" s="175"/>
      <c r="L87" s="175"/>
      <c r="M87" s="175"/>
      <c r="N87" s="176">
        <f>IF(M87&gt;0,HLOOKUP(F87,Tables!$D$3:$M$22,M87+1,0),0)</f>
        <v>0</v>
      </c>
      <c r="O87" s="177">
        <v>0</v>
      </c>
      <c r="P87" s="177">
        <v>0</v>
      </c>
      <c r="Q87" s="178">
        <f t="shared" ref="Q87:Q89" si="23">SUM(O87:P87)</f>
        <v>0</v>
      </c>
    </row>
    <row r="88" spans="1:17" ht="19.95" customHeight="1" x14ac:dyDescent="0.25">
      <c r="A88" s="454"/>
      <c r="B88" s="455"/>
      <c r="C88" s="476"/>
      <c r="D88" s="445" t="s">
        <v>56</v>
      </c>
      <c r="E88" s="445"/>
      <c r="F88" s="174" t="s">
        <v>47</v>
      </c>
      <c r="G88" s="450"/>
      <c r="H88" s="450"/>
      <c r="I88" s="450"/>
      <c r="J88" s="175"/>
      <c r="K88" s="195"/>
      <c r="L88" s="195"/>
      <c r="M88" s="175"/>
      <c r="N88" s="196">
        <f>IF(M88&gt;0,HLOOKUP(F88,Tables!$D$3:$M$22,M88+1,0),0)</f>
        <v>0</v>
      </c>
      <c r="O88" s="177">
        <v>0</v>
      </c>
      <c r="P88" s="177">
        <v>0</v>
      </c>
      <c r="Q88" s="178">
        <f t="shared" si="23"/>
        <v>0</v>
      </c>
    </row>
    <row r="89" spans="1:17" s="143" customFormat="1" ht="19.95" customHeight="1" thickBot="1" x14ac:dyDescent="0.35">
      <c r="A89" s="456"/>
      <c r="B89" s="457"/>
      <c r="C89" s="477"/>
      <c r="D89" s="447" t="str">
        <f>CONCATENATE(A86," Totals")</f>
        <v>Tennis - Girls Totals</v>
      </c>
      <c r="E89" s="448"/>
      <c r="F89" s="448"/>
      <c r="G89" s="448"/>
      <c r="H89" s="448"/>
      <c r="I89" s="448"/>
      <c r="J89" s="448"/>
      <c r="K89" s="448"/>
      <c r="L89" s="448"/>
      <c r="M89" s="449"/>
      <c r="N89" s="180">
        <f>SUM(N86:N88)</f>
        <v>0</v>
      </c>
      <c r="O89" s="180">
        <f t="shared" ref="O89" si="24">SUM(O86:O88)</f>
        <v>0</v>
      </c>
      <c r="P89" s="180">
        <f t="shared" ref="P89" si="25">SUM(P86:P88)</f>
        <v>0</v>
      </c>
      <c r="Q89" s="181">
        <f t="shared" si="23"/>
        <v>0</v>
      </c>
    </row>
    <row r="90" spans="1:17" ht="19.95" customHeight="1" x14ac:dyDescent="0.25">
      <c r="A90" s="452" t="s">
        <v>268</v>
      </c>
      <c r="B90" s="453"/>
      <c r="C90" s="475">
        <f>+'HS - Positions and Funding'!B78</f>
        <v>12894</v>
      </c>
      <c r="D90" s="446" t="s">
        <v>57</v>
      </c>
      <c r="E90" s="446"/>
      <c r="F90" s="168" t="s">
        <v>22</v>
      </c>
      <c r="G90" s="451"/>
      <c r="H90" s="451"/>
      <c r="I90" s="451"/>
      <c r="J90" s="169"/>
      <c r="K90" s="170"/>
      <c r="L90" s="170"/>
      <c r="M90" s="169"/>
      <c r="N90" s="171">
        <f>IF(M90&gt;0,HLOOKUP(F90,Tables!$D$3:$M$22,M90+1,0),0)</f>
        <v>0</v>
      </c>
      <c r="O90" s="172">
        <v>0</v>
      </c>
      <c r="P90" s="172">
        <v>0</v>
      </c>
      <c r="Q90" s="173">
        <f>SUM(O90:P90)</f>
        <v>0</v>
      </c>
    </row>
    <row r="91" spans="1:17" ht="19.95" customHeight="1" x14ac:dyDescent="0.25">
      <c r="A91" s="454"/>
      <c r="B91" s="455"/>
      <c r="C91" s="476"/>
      <c r="D91" s="445" t="s">
        <v>56</v>
      </c>
      <c r="E91" s="445"/>
      <c r="F91" s="174" t="s">
        <v>23</v>
      </c>
      <c r="G91" s="450"/>
      <c r="H91" s="450"/>
      <c r="I91" s="450"/>
      <c r="J91" s="175"/>
      <c r="K91" s="175"/>
      <c r="L91" s="175"/>
      <c r="M91" s="175"/>
      <c r="N91" s="176">
        <f>IF(M91&gt;0,HLOOKUP(F91,Tables!$D$3:$M$22,M91+1,0),0)</f>
        <v>0</v>
      </c>
      <c r="O91" s="177">
        <v>0</v>
      </c>
      <c r="P91" s="177">
        <v>0</v>
      </c>
      <c r="Q91" s="178">
        <f t="shared" ref="Q91:Q98" si="26">SUM(O91:P91)</f>
        <v>0</v>
      </c>
    </row>
    <row r="92" spans="1:17" ht="19.95" customHeight="1" x14ac:dyDescent="0.25">
      <c r="A92" s="454"/>
      <c r="B92" s="455"/>
      <c r="C92" s="476"/>
      <c r="D92" s="445" t="s">
        <v>56</v>
      </c>
      <c r="E92" s="445"/>
      <c r="F92" s="174" t="s">
        <v>23</v>
      </c>
      <c r="G92" s="450"/>
      <c r="H92" s="450"/>
      <c r="I92" s="450"/>
      <c r="J92" s="175"/>
      <c r="K92" s="175"/>
      <c r="L92" s="175"/>
      <c r="M92" s="175"/>
      <c r="N92" s="176">
        <f>IF(M92&gt;0,HLOOKUP(F92,Tables!$D$3:$M$22,M92+1,0),0)</f>
        <v>0</v>
      </c>
      <c r="O92" s="177">
        <v>0</v>
      </c>
      <c r="P92" s="177">
        <v>0</v>
      </c>
      <c r="Q92" s="178">
        <f t="shared" ref="Q92:Q96" si="27">SUM(O92:P92)</f>
        <v>0</v>
      </c>
    </row>
    <row r="93" spans="1:17" ht="19.95" customHeight="1" x14ac:dyDescent="0.25">
      <c r="A93" s="454"/>
      <c r="B93" s="455"/>
      <c r="C93" s="476"/>
      <c r="D93" s="445" t="s">
        <v>56</v>
      </c>
      <c r="E93" s="445"/>
      <c r="F93" s="174" t="s">
        <v>23</v>
      </c>
      <c r="G93" s="450"/>
      <c r="H93" s="450"/>
      <c r="I93" s="450"/>
      <c r="J93" s="175"/>
      <c r="K93" s="175"/>
      <c r="L93" s="175"/>
      <c r="M93" s="175"/>
      <c r="N93" s="176">
        <f>IF(M93&gt;0,HLOOKUP(F93,Tables!$D$3:$M$22,M93+1,0),0)</f>
        <v>0</v>
      </c>
      <c r="O93" s="177">
        <v>0</v>
      </c>
      <c r="P93" s="177">
        <v>0</v>
      </c>
      <c r="Q93" s="178">
        <f t="shared" si="27"/>
        <v>0</v>
      </c>
    </row>
    <row r="94" spans="1:17" ht="19.95" customHeight="1" x14ac:dyDescent="0.25">
      <c r="A94" s="454"/>
      <c r="B94" s="455"/>
      <c r="C94" s="476"/>
      <c r="D94" s="445" t="s">
        <v>56</v>
      </c>
      <c r="E94" s="445"/>
      <c r="F94" s="174" t="s">
        <v>23</v>
      </c>
      <c r="G94" s="450"/>
      <c r="H94" s="450"/>
      <c r="I94" s="450"/>
      <c r="J94" s="175"/>
      <c r="K94" s="175"/>
      <c r="L94" s="175"/>
      <c r="M94" s="175"/>
      <c r="N94" s="176">
        <f>IF(M94&gt;0,HLOOKUP(F94,Tables!$D$3:$M$22,M94+1,0),0)</f>
        <v>0</v>
      </c>
      <c r="O94" s="177">
        <v>0</v>
      </c>
      <c r="P94" s="177">
        <v>0</v>
      </c>
      <c r="Q94" s="178">
        <f t="shared" si="27"/>
        <v>0</v>
      </c>
    </row>
    <row r="95" spans="1:17" ht="19.95" customHeight="1" x14ac:dyDescent="0.25">
      <c r="A95" s="454"/>
      <c r="B95" s="455"/>
      <c r="C95" s="476"/>
      <c r="D95" s="445" t="s">
        <v>56</v>
      </c>
      <c r="E95" s="445"/>
      <c r="F95" s="174" t="s">
        <v>23</v>
      </c>
      <c r="G95" s="450"/>
      <c r="H95" s="450"/>
      <c r="I95" s="450"/>
      <c r="J95" s="175"/>
      <c r="K95" s="175"/>
      <c r="L95" s="175"/>
      <c r="M95" s="175"/>
      <c r="N95" s="176">
        <f>IF(M95&gt;0,HLOOKUP(F95,Tables!$D$3:$M$22,M95+1,0),0)</f>
        <v>0</v>
      </c>
      <c r="O95" s="177">
        <v>0</v>
      </c>
      <c r="P95" s="177">
        <v>0</v>
      </c>
      <c r="Q95" s="178">
        <f t="shared" ref="Q95" si="28">SUM(O95:P95)</f>
        <v>0</v>
      </c>
    </row>
    <row r="96" spans="1:17" ht="19.95" customHeight="1" x14ac:dyDescent="0.25">
      <c r="A96" s="454"/>
      <c r="B96" s="455"/>
      <c r="C96" s="476"/>
      <c r="D96" s="445" t="s">
        <v>56</v>
      </c>
      <c r="E96" s="445"/>
      <c r="F96" s="174" t="s">
        <v>23</v>
      </c>
      <c r="G96" s="450"/>
      <c r="H96" s="450"/>
      <c r="I96" s="450"/>
      <c r="J96" s="175"/>
      <c r="K96" s="175"/>
      <c r="L96" s="175"/>
      <c r="M96" s="175"/>
      <c r="N96" s="176">
        <f>IF(M96&gt;0,HLOOKUP(F96,Tables!$D$3:$M$22,M96+1,0),0)</f>
        <v>0</v>
      </c>
      <c r="O96" s="177">
        <v>0</v>
      </c>
      <c r="P96" s="177">
        <v>0</v>
      </c>
      <c r="Q96" s="178">
        <f t="shared" si="27"/>
        <v>0</v>
      </c>
    </row>
    <row r="97" spans="1:17" ht="19.95" customHeight="1" x14ac:dyDescent="0.25">
      <c r="A97" s="454"/>
      <c r="B97" s="455"/>
      <c r="C97" s="476"/>
      <c r="D97" s="445" t="s">
        <v>56</v>
      </c>
      <c r="E97" s="445"/>
      <c r="F97" s="174" t="s">
        <v>23</v>
      </c>
      <c r="G97" s="450"/>
      <c r="H97" s="450"/>
      <c r="I97" s="450"/>
      <c r="J97" s="175"/>
      <c r="K97" s="195"/>
      <c r="L97" s="195"/>
      <c r="M97" s="175"/>
      <c r="N97" s="196">
        <f>IF(M97&gt;0,HLOOKUP(F97,Tables!$D$3:$M$22,M97+1,0),0)</f>
        <v>0</v>
      </c>
      <c r="O97" s="177">
        <v>0</v>
      </c>
      <c r="P97" s="177">
        <v>0</v>
      </c>
      <c r="Q97" s="178">
        <f t="shared" si="26"/>
        <v>0</v>
      </c>
    </row>
    <row r="98" spans="1:17" s="143" customFormat="1" ht="19.95" customHeight="1" x14ac:dyDescent="0.3">
      <c r="A98" s="454"/>
      <c r="B98" s="455"/>
      <c r="C98" s="476"/>
      <c r="D98" s="497" t="str">
        <f>CONCATENATE(A90," Totals")</f>
        <v>Volleyball - Girls Totals</v>
      </c>
      <c r="E98" s="498"/>
      <c r="F98" s="498"/>
      <c r="G98" s="498"/>
      <c r="H98" s="498"/>
      <c r="I98" s="498"/>
      <c r="J98" s="498"/>
      <c r="K98" s="498"/>
      <c r="L98" s="498"/>
      <c r="M98" s="499"/>
      <c r="N98" s="267">
        <f>SUM(N90:N97)</f>
        <v>0</v>
      </c>
      <c r="O98" s="267">
        <f t="shared" ref="O98" si="29">SUM(O90:O97)</f>
        <v>0</v>
      </c>
      <c r="P98" s="267">
        <f t="shared" ref="P98" si="30">SUM(P90:P97)</f>
        <v>0</v>
      </c>
      <c r="Q98" s="268">
        <f t="shared" si="26"/>
        <v>0</v>
      </c>
    </row>
    <row r="99" spans="1:17" s="142" customFormat="1" ht="19.95" customHeight="1" thickBot="1" x14ac:dyDescent="0.35">
      <c r="A99" s="144"/>
      <c r="B99" s="145"/>
      <c r="C99" s="145"/>
      <c r="D99" s="183"/>
      <c r="E99" s="183"/>
      <c r="F99" s="197"/>
      <c r="G99" s="183"/>
      <c r="H99" s="183"/>
      <c r="I99" s="183"/>
      <c r="J99" s="183"/>
      <c r="K99" s="183"/>
      <c r="L99" s="183"/>
      <c r="M99" s="184" t="s">
        <v>134</v>
      </c>
      <c r="N99" s="185">
        <f>+N98+N89+N85+N77+N73+N56+N52</f>
        <v>0</v>
      </c>
      <c r="O99" s="185">
        <f>+O98+O89+O85+O77+O73+O56+O52</f>
        <v>0</v>
      </c>
      <c r="P99" s="185">
        <f>+P98+P89+P85+P77+P73+P56+P52</f>
        <v>0</v>
      </c>
      <c r="Q99" s="186">
        <f>+Q98+Q89+Q85+Q77+Q73+Q56+Q52</f>
        <v>0</v>
      </c>
    </row>
    <row r="100" spans="1:17" ht="12.75" customHeight="1" x14ac:dyDescent="0.25">
      <c r="A100" s="152" t="s">
        <v>178</v>
      </c>
      <c r="B100" s="11"/>
      <c r="C100" s="11"/>
      <c r="D100" s="11"/>
      <c r="E100" s="11"/>
      <c r="F100" s="11"/>
      <c r="G100" s="11"/>
      <c r="H100" s="11"/>
      <c r="I100" s="11"/>
      <c r="J100" s="11"/>
      <c r="K100" s="11"/>
      <c r="L100" s="11"/>
      <c r="M100" s="11"/>
      <c r="N100" s="11"/>
      <c r="O100" s="11"/>
      <c r="P100" s="11"/>
      <c r="Q100" s="132"/>
    </row>
    <row r="101" spans="1:17" ht="12.75" customHeight="1" x14ac:dyDescent="0.25">
      <c r="A101" s="153" t="s">
        <v>170</v>
      </c>
      <c r="B101" s="19"/>
      <c r="C101" s="19"/>
      <c r="D101" s="19"/>
      <c r="E101" s="19"/>
      <c r="F101" s="19"/>
      <c r="G101" s="19"/>
      <c r="H101" s="19"/>
      <c r="I101" s="19"/>
      <c r="J101" s="19"/>
      <c r="K101" s="19"/>
      <c r="L101" s="19"/>
      <c r="M101" s="19"/>
      <c r="N101" s="19"/>
      <c r="O101" s="19"/>
      <c r="P101" s="19"/>
      <c r="Q101" s="29"/>
    </row>
    <row r="102" spans="1:17" ht="12.75" customHeight="1" x14ac:dyDescent="0.25">
      <c r="A102" s="154" t="s">
        <v>179</v>
      </c>
      <c r="B102" s="19"/>
      <c r="C102" s="19"/>
      <c r="D102" s="19"/>
      <c r="E102" s="19"/>
      <c r="F102" s="19"/>
      <c r="G102" s="19"/>
      <c r="H102" s="19"/>
      <c r="I102" s="19"/>
      <c r="J102" s="19"/>
      <c r="K102" s="19"/>
      <c r="L102" s="19"/>
      <c r="M102" s="19"/>
      <c r="N102" s="19"/>
      <c r="O102" s="19"/>
      <c r="P102" s="19"/>
      <c r="Q102" s="29"/>
    </row>
    <row r="103" spans="1:17" ht="12.75" customHeight="1" x14ac:dyDescent="0.25">
      <c r="A103" s="154" t="s">
        <v>207</v>
      </c>
      <c r="B103" s="19"/>
      <c r="C103" s="19"/>
      <c r="D103" s="19"/>
      <c r="E103" s="19"/>
      <c r="F103" s="19"/>
      <c r="G103" s="19"/>
      <c r="H103" s="19"/>
      <c r="I103" s="19"/>
      <c r="J103" s="19"/>
      <c r="K103" s="19"/>
      <c r="L103" s="19"/>
      <c r="M103" s="19"/>
      <c r="N103" s="19"/>
      <c r="O103" s="19"/>
      <c r="P103" s="19"/>
      <c r="Q103" s="29"/>
    </row>
    <row r="104" spans="1:17" ht="12.75" customHeight="1" x14ac:dyDescent="0.25">
      <c r="A104" s="154" t="s">
        <v>208</v>
      </c>
      <c r="B104" s="19"/>
      <c r="C104" s="19"/>
      <c r="D104" s="19"/>
      <c r="E104" s="19"/>
      <c r="F104" s="19"/>
      <c r="G104" s="19"/>
      <c r="H104" s="19"/>
      <c r="I104" s="19"/>
      <c r="J104" s="19"/>
      <c r="K104" s="19"/>
      <c r="L104" s="19"/>
      <c r="M104" s="19"/>
      <c r="N104" s="19"/>
      <c r="O104" s="19"/>
      <c r="P104" s="19"/>
      <c r="Q104" s="29"/>
    </row>
    <row r="105" spans="1:17" ht="12.75" customHeight="1" x14ac:dyDescent="0.25">
      <c r="A105" s="153" t="s">
        <v>171</v>
      </c>
      <c r="B105" s="19"/>
      <c r="C105" s="19"/>
      <c r="D105" s="19"/>
      <c r="E105" s="19"/>
      <c r="F105" s="19"/>
      <c r="G105" s="19"/>
      <c r="H105" s="19"/>
      <c r="I105" s="19"/>
      <c r="J105" s="19"/>
      <c r="K105" s="19"/>
      <c r="L105" s="19"/>
      <c r="M105" s="19"/>
      <c r="N105" s="19"/>
      <c r="O105" s="19"/>
      <c r="P105" s="19"/>
      <c r="Q105" s="29"/>
    </row>
    <row r="106" spans="1:17" ht="12.75" customHeight="1" x14ac:dyDescent="0.25">
      <c r="A106" s="154" t="s">
        <v>182</v>
      </c>
      <c r="B106" s="19"/>
      <c r="C106" s="19"/>
      <c r="D106" s="19"/>
      <c r="E106" s="19"/>
      <c r="F106" s="19"/>
      <c r="G106" s="19"/>
      <c r="H106" s="19"/>
      <c r="I106" s="19"/>
      <c r="J106" s="19"/>
      <c r="K106" s="19"/>
      <c r="L106" s="19"/>
      <c r="M106" s="19"/>
      <c r="N106" s="19"/>
      <c r="O106" s="19"/>
      <c r="P106" s="19"/>
      <c r="Q106" s="29"/>
    </row>
    <row r="107" spans="1:17" ht="12.75" customHeight="1" x14ac:dyDescent="0.25">
      <c r="A107" s="155" t="s">
        <v>177</v>
      </c>
      <c r="B107" s="19"/>
      <c r="C107" s="19"/>
      <c r="D107" s="19"/>
      <c r="E107" s="19"/>
      <c r="F107" s="19"/>
      <c r="G107" s="19"/>
      <c r="H107" s="19"/>
      <c r="I107" s="19"/>
      <c r="J107" s="19"/>
      <c r="K107" s="19"/>
      <c r="L107" s="19"/>
      <c r="M107" s="19"/>
      <c r="N107" s="19"/>
      <c r="O107" s="19"/>
      <c r="P107" s="19"/>
      <c r="Q107" s="29"/>
    </row>
    <row r="108" spans="1:17" ht="12.75" customHeight="1" x14ac:dyDescent="0.25">
      <c r="A108" s="155" t="s">
        <v>209</v>
      </c>
      <c r="B108" s="19"/>
      <c r="C108" s="19"/>
      <c r="D108" s="19"/>
      <c r="E108" s="19"/>
      <c r="F108" s="19"/>
      <c r="G108" s="19"/>
      <c r="H108" s="19"/>
      <c r="I108" s="19"/>
      <c r="J108" s="19"/>
      <c r="K108" s="19"/>
      <c r="L108" s="19"/>
      <c r="M108" s="19"/>
      <c r="N108" s="19"/>
      <c r="O108" s="19"/>
      <c r="P108" s="19"/>
      <c r="Q108" s="29"/>
    </row>
    <row r="109" spans="1:17" ht="12.75" customHeight="1" x14ac:dyDescent="0.25">
      <c r="A109" s="156" t="s">
        <v>172</v>
      </c>
      <c r="B109" s="19"/>
      <c r="C109" s="19"/>
      <c r="D109" s="19"/>
      <c r="E109" s="19"/>
      <c r="F109" s="19"/>
      <c r="G109" s="19"/>
      <c r="H109" s="19"/>
      <c r="I109" s="19"/>
      <c r="J109" s="19"/>
      <c r="K109" s="19"/>
      <c r="L109" s="19"/>
      <c r="M109" s="19"/>
      <c r="N109" s="19"/>
      <c r="O109" s="19"/>
      <c r="P109" s="19"/>
      <c r="Q109" s="29"/>
    </row>
    <row r="110" spans="1:17" ht="12.75" customHeight="1" x14ac:dyDescent="0.25">
      <c r="A110" s="155" t="s">
        <v>211</v>
      </c>
      <c r="B110" s="19"/>
      <c r="C110" s="19"/>
      <c r="D110" s="19"/>
      <c r="E110" s="19"/>
      <c r="F110" s="19"/>
      <c r="G110" s="19"/>
      <c r="H110" s="19"/>
      <c r="I110" s="19"/>
      <c r="J110" s="19"/>
      <c r="K110" s="19"/>
      <c r="L110" s="19"/>
      <c r="M110" s="19"/>
      <c r="N110" s="19"/>
      <c r="O110" s="19"/>
      <c r="P110" s="19"/>
      <c r="Q110" s="29"/>
    </row>
    <row r="111" spans="1:17" x14ac:dyDescent="0.25">
      <c r="A111" s="155" t="s">
        <v>210</v>
      </c>
      <c r="B111" s="19"/>
      <c r="C111" s="19"/>
      <c r="D111" s="19"/>
      <c r="E111" s="19"/>
      <c r="F111" s="19"/>
      <c r="G111" s="19"/>
      <c r="H111" s="19"/>
      <c r="I111" s="19"/>
      <c r="J111" s="19"/>
      <c r="K111" s="19"/>
      <c r="L111" s="19"/>
      <c r="M111" s="19"/>
      <c r="N111" s="19"/>
      <c r="O111" s="19"/>
      <c r="P111" s="19"/>
      <c r="Q111" s="29"/>
    </row>
    <row r="112" spans="1:17" x14ac:dyDescent="0.25">
      <c r="A112" s="156" t="s">
        <v>173</v>
      </c>
      <c r="B112" s="19"/>
      <c r="C112" s="19"/>
      <c r="D112" s="19"/>
      <c r="E112" s="19"/>
      <c r="F112" s="19"/>
      <c r="G112" s="19"/>
      <c r="H112" s="19"/>
      <c r="I112" s="19"/>
      <c r="J112" s="19"/>
      <c r="K112" s="19"/>
      <c r="L112" s="19"/>
      <c r="M112" s="19"/>
      <c r="N112" s="19"/>
      <c r="O112" s="19"/>
      <c r="P112" s="19"/>
      <c r="Q112" s="29"/>
    </row>
    <row r="113" spans="1:17" x14ac:dyDescent="0.25">
      <c r="A113" s="155" t="s">
        <v>181</v>
      </c>
      <c r="B113" s="19"/>
      <c r="C113" s="19"/>
      <c r="D113" s="19"/>
      <c r="E113" s="19"/>
      <c r="F113" s="19"/>
      <c r="G113" s="19"/>
      <c r="H113" s="19"/>
      <c r="I113" s="19"/>
      <c r="J113" s="19"/>
      <c r="K113" s="19"/>
      <c r="L113" s="19"/>
      <c r="M113" s="19"/>
      <c r="N113" s="19"/>
      <c r="O113" s="19"/>
      <c r="P113" s="19"/>
      <c r="Q113" s="29"/>
    </row>
    <row r="114" spans="1:17" x14ac:dyDescent="0.25">
      <c r="A114" s="155" t="s">
        <v>176</v>
      </c>
      <c r="B114" s="19"/>
      <c r="C114" s="19"/>
      <c r="D114" s="19"/>
      <c r="E114" s="19"/>
      <c r="F114" s="19"/>
      <c r="G114" s="19"/>
      <c r="H114" s="19"/>
      <c r="I114" s="19"/>
      <c r="J114" s="19"/>
      <c r="K114" s="19"/>
      <c r="L114" s="19"/>
      <c r="M114" s="19"/>
      <c r="N114" s="19"/>
      <c r="O114" s="19"/>
      <c r="P114" s="19"/>
      <c r="Q114" s="29"/>
    </row>
    <row r="115" spans="1:17" x14ac:dyDescent="0.25">
      <c r="A115" s="155" t="s">
        <v>212</v>
      </c>
      <c r="B115" s="19"/>
      <c r="C115" s="19"/>
      <c r="D115" s="19"/>
      <c r="E115" s="19"/>
      <c r="F115" s="19"/>
      <c r="G115" s="19"/>
      <c r="H115" s="19"/>
      <c r="I115" s="19"/>
      <c r="J115" s="19"/>
      <c r="K115" s="19"/>
      <c r="L115" s="19"/>
      <c r="M115" s="19"/>
      <c r="N115" s="19"/>
      <c r="O115" s="19"/>
      <c r="P115" s="19"/>
      <c r="Q115" s="29"/>
    </row>
    <row r="116" spans="1:17" x14ac:dyDescent="0.25">
      <c r="A116" s="156" t="s">
        <v>174</v>
      </c>
      <c r="B116" s="19"/>
      <c r="C116" s="19"/>
      <c r="D116" s="19"/>
      <c r="E116" s="19"/>
      <c r="F116" s="19"/>
      <c r="G116" s="19"/>
      <c r="H116" s="19"/>
      <c r="I116" s="19"/>
      <c r="J116" s="19"/>
      <c r="K116" s="19"/>
      <c r="L116" s="19"/>
      <c r="M116" s="19"/>
      <c r="N116" s="19"/>
      <c r="O116" s="19"/>
      <c r="P116" s="19"/>
      <c r="Q116" s="29"/>
    </row>
    <row r="117" spans="1:17" x14ac:dyDescent="0.25">
      <c r="A117" s="155" t="s">
        <v>213</v>
      </c>
      <c r="B117" s="19"/>
      <c r="C117" s="19"/>
      <c r="D117" s="19"/>
      <c r="E117" s="19"/>
      <c r="F117" s="19"/>
      <c r="G117" s="19"/>
      <c r="H117" s="19"/>
      <c r="I117" s="19"/>
      <c r="J117" s="19"/>
      <c r="K117" s="19"/>
      <c r="L117" s="19"/>
      <c r="M117" s="19"/>
      <c r="N117" s="19"/>
      <c r="O117" s="19"/>
      <c r="P117" s="19"/>
      <c r="Q117" s="29"/>
    </row>
    <row r="118" spans="1:17" x14ac:dyDescent="0.25">
      <c r="A118" s="155" t="s">
        <v>214</v>
      </c>
      <c r="B118" s="19"/>
      <c r="C118" s="19"/>
      <c r="D118" s="19"/>
      <c r="E118" s="19"/>
      <c r="F118" s="19"/>
      <c r="G118" s="19"/>
      <c r="H118" s="19"/>
      <c r="I118" s="19"/>
      <c r="J118" s="19"/>
      <c r="K118" s="19"/>
      <c r="L118" s="19"/>
      <c r="M118" s="19"/>
      <c r="N118" s="19"/>
      <c r="O118" s="19"/>
      <c r="P118" s="19"/>
      <c r="Q118" s="29"/>
    </row>
    <row r="119" spans="1:17" x14ac:dyDescent="0.25">
      <c r="A119" s="156" t="s">
        <v>175</v>
      </c>
      <c r="B119" s="19"/>
      <c r="C119" s="19"/>
      <c r="D119" s="19"/>
      <c r="E119" s="19"/>
      <c r="F119" s="19"/>
      <c r="G119" s="19"/>
      <c r="H119" s="19"/>
      <c r="I119" s="19"/>
      <c r="J119" s="19"/>
      <c r="K119" s="19"/>
      <c r="L119" s="19"/>
      <c r="M119" s="19"/>
      <c r="N119" s="19"/>
      <c r="O119" s="19"/>
      <c r="P119" s="19"/>
      <c r="Q119" s="29"/>
    </row>
    <row r="120" spans="1:17" x14ac:dyDescent="0.25">
      <c r="A120" s="155" t="s">
        <v>213</v>
      </c>
      <c r="B120" s="19"/>
      <c r="C120" s="19"/>
      <c r="D120" s="19"/>
      <c r="E120" s="19"/>
      <c r="F120" s="19"/>
      <c r="G120" s="19"/>
      <c r="H120" s="19"/>
      <c r="I120" s="19"/>
      <c r="J120" s="19"/>
      <c r="K120" s="19"/>
      <c r="L120" s="19"/>
      <c r="M120" s="19"/>
      <c r="N120" s="19"/>
      <c r="O120" s="19"/>
      <c r="P120" s="19"/>
      <c r="Q120" s="29"/>
    </row>
    <row r="121" spans="1:17" x14ac:dyDescent="0.25">
      <c r="A121" s="155" t="s">
        <v>190</v>
      </c>
      <c r="B121" s="19"/>
      <c r="C121" s="19"/>
      <c r="D121" s="19"/>
      <c r="E121" s="19"/>
      <c r="F121" s="19"/>
      <c r="G121" s="19"/>
      <c r="H121" s="19"/>
      <c r="I121" s="19"/>
      <c r="J121" s="19"/>
      <c r="K121" s="19"/>
      <c r="L121" s="19"/>
      <c r="M121" s="19"/>
      <c r="N121" s="19"/>
      <c r="O121" s="19"/>
      <c r="P121" s="19"/>
      <c r="Q121" s="29"/>
    </row>
    <row r="122" spans="1:17" x14ac:dyDescent="0.25">
      <c r="A122" s="156" t="s">
        <v>180</v>
      </c>
      <c r="B122" s="19"/>
      <c r="C122" s="19"/>
      <c r="D122" s="19"/>
      <c r="E122" s="19"/>
      <c r="F122" s="19"/>
      <c r="G122" s="19"/>
      <c r="H122" s="19"/>
      <c r="I122" s="19"/>
      <c r="J122" s="19"/>
      <c r="K122" s="19"/>
      <c r="L122" s="19"/>
      <c r="M122" s="19"/>
      <c r="N122" s="19"/>
      <c r="O122" s="19"/>
      <c r="P122" s="19"/>
      <c r="Q122" s="29"/>
    </row>
    <row r="123" spans="1:17" x14ac:dyDescent="0.25">
      <c r="A123" s="155" t="s">
        <v>215</v>
      </c>
      <c r="B123" s="19"/>
      <c r="C123" s="19"/>
      <c r="D123" s="19"/>
      <c r="E123" s="19"/>
      <c r="F123" s="19"/>
      <c r="G123" s="19"/>
      <c r="H123" s="19"/>
      <c r="I123" s="19"/>
      <c r="J123" s="19"/>
      <c r="K123" s="19"/>
      <c r="L123" s="19"/>
      <c r="M123" s="19"/>
      <c r="N123" s="19"/>
      <c r="O123" s="19"/>
      <c r="P123" s="19"/>
      <c r="Q123" s="29"/>
    </row>
    <row r="124" spans="1:17" x14ac:dyDescent="0.25">
      <c r="A124" s="155" t="s">
        <v>183</v>
      </c>
      <c r="B124" s="19"/>
      <c r="C124" s="19"/>
      <c r="D124" s="19"/>
      <c r="E124" s="19"/>
      <c r="F124" s="19"/>
      <c r="G124" s="19"/>
      <c r="H124" s="19"/>
      <c r="I124" s="19"/>
      <c r="J124" s="19"/>
      <c r="K124" s="19"/>
      <c r="L124" s="19"/>
      <c r="M124" s="19"/>
      <c r="N124" s="19"/>
      <c r="O124" s="19"/>
      <c r="P124" s="19"/>
      <c r="Q124" s="29"/>
    </row>
    <row r="125" spans="1:17" ht="13.8" thickBot="1" x14ac:dyDescent="0.3">
      <c r="A125" s="33"/>
      <c r="B125" s="34"/>
      <c r="C125" s="34"/>
      <c r="D125" s="34"/>
      <c r="E125" s="34"/>
      <c r="F125" s="34"/>
      <c r="G125" s="34"/>
      <c r="H125" s="34"/>
      <c r="I125" s="34"/>
      <c r="J125" s="34"/>
      <c r="K125" s="34"/>
      <c r="L125" s="34"/>
      <c r="M125" s="34"/>
      <c r="N125" s="34"/>
      <c r="O125" s="34"/>
      <c r="P125" s="34"/>
      <c r="Q125" s="35"/>
    </row>
  </sheetData>
  <sheetProtection algorithmName="SHA-512" hashValue="Mdo3SO4t2LFxzHoybRDe7AMIxrkKN1YR1AFXca17QKwCXET+LhJIE+U9o1MMcpe8yoK7RN9eb1W5f67TU7zyMw==" saltValue="k2iYD5BORhmUIzdKZXLgDg==" spinCount="100000" sheet="1" selectLockedCells="1"/>
  <mergeCells count="132">
    <mergeCell ref="A90:B98"/>
    <mergeCell ref="C90:C98"/>
    <mergeCell ref="G90:I90"/>
    <mergeCell ref="G91:I91"/>
    <mergeCell ref="G97:I97"/>
    <mergeCell ref="D98:M98"/>
    <mergeCell ref="A78:B85"/>
    <mergeCell ref="D88:E88"/>
    <mergeCell ref="D89:M89"/>
    <mergeCell ref="D97:E97"/>
    <mergeCell ref="G88:I88"/>
    <mergeCell ref="D91:E91"/>
    <mergeCell ref="D92:E92"/>
    <mergeCell ref="G92:I92"/>
    <mergeCell ref="G93:I93"/>
    <mergeCell ref="G94:I94"/>
    <mergeCell ref="G96:I96"/>
    <mergeCell ref="C78:C85"/>
    <mergeCell ref="D85:M85"/>
    <mergeCell ref="D82:E82"/>
    <mergeCell ref="G82:I82"/>
    <mergeCell ref="D90:E90"/>
    <mergeCell ref="D86:E86"/>
    <mergeCell ref="D87:E87"/>
    <mergeCell ref="A53:B56"/>
    <mergeCell ref="C53:C56"/>
    <mergeCell ref="G53:I53"/>
    <mergeCell ref="G54:I54"/>
    <mergeCell ref="G55:I55"/>
    <mergeCell ref="A57:B73"/>
    <mergeCell ref="C57:C73"/>
    <mergeCell ref="A86:B89"/>
    <mergeCell ref="C86:C89"/>
    <mergeCell ref="G72:I72"/>
    <mergeCell ref="G65:I65"/>
    <mergeCell ref="G57:I57"/>
    <mergeCell ref="G58:I58"/>
    <mergeCell ref="G63:I63"/>
    <mergeCell ref="G64:I64"/>
    <mergeCell ref="G67:I67"/>
    <mergeCell ref="D77:M77"/>
    <mergeCell ref="D62:E62"/>
    <mergeCell ref="D63:E63"/>
    <mergeCell ref="D64:E64"/>
    <mergeCell ref="D65:E65"/>
    <mergeCell ref="D57:E57"/>
    <mergeCell ref="G59:I59"/>
    <mergeCell ref="G60:I60"/>
    <mergeCell ref="J42:N42"/>
    <mergeCell ref="P42:Q42"/>
    <mergeCell ref="A40:E40"/>
    <mergeCell ref="A42:E42"/>
    <mergeCell ref="G40:H40"/>
    <mergeCell ref="G42:H42"/>
    <mergeCell ref="J44:N44"/>
    <mergeCell ref="P44:Q44"/>
    <mergeCell ref="J40:N40"/>
    <mergeCell ref="A74:B77"/>
    <mergeCell ref="G78:I78"/>
    <mergeCell ref="G79:I79"/>
    <mergeCell ref="G84:I84"/>
    <mergeCell ref="G80:I80"/>
    <mergeCell ref="G81:I81"/>
    <mergeCell ref="D84:E84"/>
    <mergeCell ref="G75:I75"/>
    <mergeCell ref="G76:I76"/>
    <mergeCell ref="D74:E74"/>
    <mergeCell ref="D75:E75"/>
    <mergeCell ref="C74:C77"/>
    <mergeCell ref="G74:I74"/>
    <mergeCell ref="D53:E53"/>
    <mergeCell ref="D54:E54"/>
    <mergeCell ref="D55:E55"/>
    <mergeCell ref="D52:M52"/>
    <mergeCell ref="G70:I70"/>
    <mergeCell ref="D71:E71"/>
    <mergeCell ref="G71:I71"/>
    <mergeCell ref="D56:M56"/>
    <mergeCell ref="D68:E68"/>
    <mergeCell ref="D66:E66"/>
    <mergeCell ref="D69:E69"/>
    <mergeCell ref="G69:I69"/>
    <mergeCell ref="D70:E70"/>
    <mergeCell ref="D58:E58"/>
    <mergeCell ref="D59:E59"/>
    <mergeCell ref="D60:E60"/>
    <mergeCell ref="D61:E61"/>
    <mergeCell ref="G61:I61"/>
    <mergeCell ref="G62:I62"/>
    <mergeCell ref="G66:I66"/>
    <mergeCell ref="A49:B52"/>
    <mergeCell ref="A2:Q2"/>
    <mergeCell ref="A3:Q3"/>
    <mergeCell ref="A48:B48"/>
    <mergeCell ref="C7:F7"/>
    <mergeCell ref="O7:P7"/>
    <mergeCell ref="O8:P8"/>
    <mergeCell ref="G49:I49"/>
    <mergeCell ref="G50:I50"/>
    <mergeCell ref="G48:I48"/>
    <mergeCell ref="D49:E49"/>
    <mergeCell ref="G51:I51"/>
    <mergeCell ref="A5:Q5"/>
    <mergeCell ref="C8:F8"/>
    <mergeCell ref="C49:C52"/>
    <mergeCell ref="A47:Q47"/>
    <mergeCell ref="D50:E50"/>
    <mergeCell ref="D51:E51"/>
    <mergeCell ref="A29:Q32"/>
    <mergeCell ref="A34:Q37"/>
    <mergeCell ref="A39:Q39"/>
    <mergeCell ref="A44:E44"/>
    <mergeCell ref="G44:H44"/>
    <mergeCell ref="P40:Q40"/>
    <mergeCell ref="D93:E93"/>
    <mergeCell ref="D94:E94"/>
    <mergeCell ref="D96:E96"/>
    <mergeCell ref="D76:E76"/>
    <mergeCell ref="D78:E78"/>
    <mergeCell ref="D79:E79"/>
    <mergeCell ref="D80:E80"/>
    <mergeCell ref="D81:E81"/>
    <mergeCell ref="D67:E67"/>
    <mergeCell ref="D73:M73"/>
    <mergeCell ref="D72:E72"/>
    <mergeCell ref="G68:I68"/>
    <mergeCell ref="G86:I86"/>
    <mergeCell ref="G87:I87"/>
    <mergeCell ref="D83:E83"/>
    <mergeCell ref="G83:I83"/>
    <mergeCell ref="D95:E95"/>
    <mergeCell ref="G95:I95"/>
  </mergeCells>
  <conditionalFormatting sqref="O52 O89">
    <cfRule type="expression" dxfId="317" priority="45">
      <formula>O52&gt;C49</formula>
    </cfRule>
  </conditionalFormatting>
  <conditionalFormatting sqref="Q49">
    <cfRule type="expression" dxfId="316" priority="44">
      <formula>Q49&gt;N49</formula>
    </cfRule>
  </conditionalFormatting>
  <conditionalFormatting sqref="Q50:Q52">
    <cfRule type="expression" dxfId="315" priority="42">
      <formula>Q50&gt;N50</formula>
    </cfRule>
  </conditionalFormatting>
  <conditionalFormatting sqref="Q53">
    <cfRule type="expression" dxfId="314" priority="40">
      <formula>Q53&gt;N53</formula>
    </cfRule>
  </conditionalFormatting>
  <conditionalFormatting sqref="Q54:Q56">
    <cfRule type="expression" dxfId="313" priority="39">
      <formula>Q54&gt;N54</formula>
    </cfRule>
  </conditionalFormatting>
  <conditionalFormatting sqref="O73">
    <cfRule type="expression" dxfId="312" priority="38">
      <formula>O73&gt;C57</formula>
    </cfRule>
  </conditionalFormatting>
  <conditionalFormatting sqref="Q57">
    <cfRule type="expression" dxfId="311" priority="37">
      <formula>Q57&gt;N57</formula>
    </cfRule>
  </conditionalFormatting>
  <conditionalFormatting sqref="Q68 Q72:Q73">
    <cfRule type="expression" dxfId="310" priority="36">
      <formula>Q68&gt;N68</formula>
    </cfRule>
  </conditionalFormatting>
  <conditionalFormatting sqref="O56">
    <cfRule type="expression" dxfId="309" priority="34">
      <formula>O56&gt;C53</formula>
    </cfRule>
  </conditionalFormatting>
  <conditionalFormatting sqref="Q58:Q67">
    <cfRule type="expression" dxfId="308" priority="33">
      <formula>Q58&gt;N58</formula>
    </cfRule>
  </conditionalFormatting>
  <conditionalFormatting sqref="O77">
    <cfRule type="expression" dxfId="307" priority="32">
      <formula>O77&gt;C74</formula>
    </cfRule>
  </conditionalFormatting>
  <conditionalFormatting sqref="Q74">
    <cfRule type="expression" dxfId="306" priority="31">
      <formula>Q74&gt;N74</formula>
    </cfRule>
  </conditionalFormatting>
  <conditionalFormatting sqref="Q75:Q77">
    <cfRule type="expression" dxfId="305" priority="30">
      <formula>Q75&gt;N75</formula>
    </cfRule>
  </conditionalFormatting>
  <conditionalFormatting sqref="O85">
    <cfRule type="expression" dxfId="304" priority="26">
      <formula>O85&gt;C78</formula>
    </cfRule>
  </conditionalFormatting>
  <conditionalFormatting sqref="Q78">
    <cfRule type="expression" dxfId="303" priority="25">
      <formula>Q78&gt;N78</formula>
    </cfRule>
  </conditionalFormatting>
  <conditionalFormatting sqref="Q79 Q84:Q85">
    <cfRule type="expression" dxfId="302" priority="24">
      <formula>Q79&gt;N79</formula>
    </cfRule>
  </conditionalFormatting>
  <conditionalFormatting sqref="Q86">
    <cfRule type="expression" dxfId="301" priority="22">
      <formula>Q86&gt;N86</formula>
    </cfRule>
  </conditionalFormatting>
  <conditionalFormatting sqref="Q87:Q89">
    <cfRule type="expression" dxfId="300" priority="21">
      <formula>Q87&gt;N87</formula>
    </cfRule>
  </conditionalFormatting>
  <conditionalFormatting sqref="O98">
    <cfRule type="expression" dxfId="299" priority="20">
      <formula>O98&gt;C90</formula>
    </cfRule>
  </conditionalFormatting>
  <conditionalFormatting sqref="Q90">
    <cfRule type="expression" dxfId="298" priority="19">
      <formula>Q90&gt;N90</formula>
    </cfRule>
  </conditionalFormatting>
  <conditionalFormatting sqref="Q91 Q97:Q98">
    <cfRule type="expression" dxfId="297" priority="18">
      <formula>Q91&gt;N91</formula>
    </cfRule>
  </conditionalFormatting>
  <conditionalFormatting sqref="Q80:Q81">
    <cfRule type="expression" dxfId="296" priority="17">
      <formula>Q80&gt;N80</formula>
    </cfRule>
  </conditionalFormatting>
  <conditionalFormatting sqref="Q92:Q94 Q96">
    <cfRule type="expression" dxfId="295" priority="16">
      <formula>Q92&gt;N92</formula>
    </cfRule>
  </conditionalFormatting>
  <conditionalFormatting sqref="K49">
    <cfRule type="expression" dxfId="294" priority="15">
      <formula>K49="No"</formula>
    </cfRule>
  </conditionalFormatting>
  <conditionalFormatting sqref="L90:L94 L86:L88 L78:L81 L74:L76 L57:L68 L53:L55 L49:L51 L84 L72 L96:L97">
    <cfRule type="expression" dxfId="293" priority="13">
      <formula>L49="No"</formula>
    </cfRule>
  </conditionalFormatting>
  <conditionalFormatting sqref="K90:K94 K86:K88 K78:K81 K74:K76 K57:K68 K53:K55 K50:K51 K84 K72 K96:K97">
    <cfRule type="expression" dxfId="292" priority="14">
      <formula>K50="No"</formula>
    </cfRule>
  </conditionalFormatting>
  <conditionalFormatting sqref="Q82">
    <cfRule type="expression" dxfId="291" priority="12">
      <formula>Q82&gt;N82</formula>
    </cfRule>
  </conditionalFormatting>
  <conditionalFormatting sqref="L82">
    <cfRule type="expression" dxfId="290" priority="10">
      <formula>L82="No"</formula>
    </cfRule>
  </conditionalFormatting>
  <conditionalFormatting sqref="K82">
    <cfRule type="expression" dxfId="289" priority="11">
      <formula>K82="No"</formula>
    </cfRule>
  </conditionalFormatting>
  <conditionalFormatting sqref="Q69:Q71">
    <cfRule type="expression" dxfId="288" priority="9">
      <formula>Q69&gt;N69</formula>
    </cfRule>
  </conditionalFormatting>
  <conditionalFormatting sqref="L69:L71">
    <cfRule type="expression" dxfId="287" priority="7">
      <formula>L69="No"</formula>
    </cfRule>
  </conditionalFormatting>
  <conditionalFormatting sqref="K69:K71">
    <cfRule type="expression" dxfId="286" priority="8">
      <formula>K69="No"</formula>
    </cfRule>
  </conditionalFormatting>
  <conditionalFormatting sqref="Q83">
    <cfRule type="expression" dxfId="285" priority="6">
      <formula>Q83&gt;N83</formula>
    </cfRule>
  </conditionalFormatting>
  <conditionalFormatting sqref="L83">
    <cfRule type="expression" dxfId="284" priority="4">
      <formula>L83="No"</formula>
    </cfRule>
  </conditionalFormatting>
  <conditionalFormatting sqref="K83">
    <cfRule type="expression" dxfId="283" priority="5">
      <formula>K83="No"</formula>
    </cfRule>
  </conditionalFormatting>
  <conditionalFormatting sqref="Q95">
    <cfRule type="expression" dxfId="282" priority="3">
      <formula>Q95&gt;N95</formula>
    </cfRule>
  </conditionalFormatting>
  <conditionalFormatting sqref="L95">
    <cfRule type="expression" dxfId="281" priority="1">
      <formula>L95="No"</formula>
    </cfRule>
  </conditionalFormatting>
  <conditionalFormatting sqref="K95">
    <cfRule type="expression" dxfId="280" priority="2">
      <formula>K95="No"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3" manualBreakCount="3">
    <brk id="46" max="16383" man="1"/>
    <brk id="77" max="16383" man="1"/>
    <brk id="9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Tables!$C$3:$C$22</xm:f>
          </x14:formula1>
          <xm:sqref>M49:M51 M53:M55 M57:M72 M74:M76 M78:M84 M86:M88 M90:M97</xm:sqref>
        </x14:dataValidation>
        <x14:dataValidation type="list" allowBlank="1" showInputMessage="1" showErrorMessage="1" xr:uid="{00000000-0002-0000-0200-000001000000}">
          <x14:formula1>
            <xm:f>Tables!$Q$2:$Q$7</xm:f>
          </x14:formula1>
          <xm:sqref>C7</xm:sqref>
        </x14:dataValidation>
        <x14:dataValidation type="list" allowBlank="1" showInputMessage="1" showErrorMessage="1" xr:uid="{00000000-0002-0000-0200-000002000000}">
          <x14:formula1>
            <xm:f>Tables!$O$21:$O$23</xm:f>
          </x14:formula1>
          <xm:sqref>K49:K51 K53:K55 K57:K72 K74:K76 K78:K84 K86:K88 K90:K97</xm:sqref>
        </x14:dataValidation>
        <x14:dataValidation type="list" allowBlank="1" showInputMessage="1" showErrorMessage="1" xr:uid="{00000000-0002-0000-0200-000003000000}">
          <x14:formula1>
            <xm:f>Tables!$Q$21:$Q$23</xm:f>
          </x14:formula1>
          <xm:sqref>L49:L51 L53:L55 L57:L72 L74:L76 L78:L84 L86:L88 L90:L97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D111-117D-4420-8AC8-F4BE0E94F1DE}">
  <sheetPr>
    <tabColor rgb="FFFFFF99"/>
    <pageSetUpPr fitToPage="1"/>
  </sheetPr>
  <dimension ref="A1:Q91"/>
  <sheetViews>
    <sheetView topLeftCell="A49" zoomScaleNormal="100" workbookViewId="0">
      <selection activeCell="G63" sqref="G63:I63"/>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thickBot="1" x14ac:dyDescent="0.3">
      <c r="A5" s="471" t="s">
        <v>193</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8"/>
      <c r="Q7" s="157"/>
    </row>
    <row r="8" spans="1:17" ht="19.95" customHeight="1" x14ac:dyDescent="0.3">
      <c r="A8" s="133"/>
      <c r="B8" s="17" t="s">
        <v>218</v>
      </c>
      <c r="C8" s="474"/>
      <c r="D8" s="474"/>
      <c r="E8" s="474"/>
      <c r="F8" s="474"/>
      <c r="G8" s="19"/>
      <c r="H8" s="19"/>
      <c r="I8" s="19"/>
      <c r="J8" s="19"/>
      <c r="K8" s="18"/>
      <c r="L8" s="18"/>
      <c r="M8" s="18"/>
      <c r="N8" s="17" t="s">
        <v>72</v>
      </c>
      <c r="O8" s="469" t="s">
        <v>155</v>
      </c>
      <c r="P8" s="470"/>
      <c r="Q8" s="126"/>
    </row>
    <row r="9" spans="1:17" ht="13.8" customHeight="1" thickBot="1" x14ac:dyDescent="0.3">
      <c r="A9" s="20"/>
      <c r="B9" s="21"/>
      <c r="C9" s="21"/>
      <c r="D9" s="21"/>
      <c r="E9" s="21"/>
      <c r="F9" s="21"/>
      <c r="G9" s="21"/>
      <c r="H9" s="21"/>
      <c r="I9" s="21"/>
      <c r="J9" s="21"/>
      <c r="K9" s="21"/>
      <c r="L9" s="21"/>
      <c r="M9" s="21"/>
      <c r="N9" s="21"/>
      <c r="O9" s="21"/>
      <c r="P9" s="21"/>
      <c r="Q9" s="22"/>
    </row>
    <row r="10" spans="1:17" ht="13.8" customHeight="1" x14ac:dyDescent="0.25">
      <c r="A10" s="92" t="s">
        <v>64</v>
      </c>
      <c r="B10" s="93"/>
      <c r="C10" s="93"/>
      <c r="D10" s="93"/>
      <c r="E10" s="93"/>
      <c r="F10" s="93"/>
      <c r="G10" s="94"/>
      <c r="H10" s="95" t="s">
        <v>65</v>
      </c>
      <c r="I10" s="96"/>
      <c r="J10" s="96"/>
      <c r="K10" s="97"/>
      <c r="L10" s="97"/>
      <c r="M10" s="97"/>
      <c r="N10" s="97"/>
      <c r="O10" s="97"/>
      <c r="P10" s="95"/>
      <c r="Q10" s="98"/>
    </row>
    <row r="11" spans="1:17"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Marching Band</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
        <v>244</v>
      </c>
      <c r="B13" s="201"/>
      <c r="C13" s="201"/>
      <c r="D13" s="190">
        <f>+P60</f>
        <v>0</v>
      </c>
      <c r="E13" s="191">
        <f>ROUND(+D13*0.08,0)</f>
        <v>0</v>
      </c>
      <c r="F13" s="192">
        <f t="shared" ref="F13:F17" si="0">SUM(D13:E13)</f>
        <v>0</v>
      </c>
      <c r="G13" s="90"/>
      <c r="H13" s="111" t="s">
        <v>148</v>
      </c>
      <c r="I13" s="89"/>
      <c r="J13" s="89"/>
      <c r="K13" s="19"/>
      <c r="L13" s="108"/>
      <c r="M13" s="108"/>
      <c r="N13" s="108"/>
      <c r="O13" s="108"/>
      <c r="P13" s="109"/>
      <c r="Q13" s="110"/>
    </row>
    <row r="14" spans="1:17" ht="15" customHeight="1" x14ac:dyDescent="0.25">
      <c r="A14" s="200" t="str">
        <f>+A61</f>
        <v>Drum Line</v>
      </c>
      <c r="B14" s="201"/>
      <c r="C14" s="201"/>
      <c r="D14" s="193">
        <f>+P64</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v>0</v>
      </c>
      <c r="G20" s="90"/>
      <c r="H20" s="118" t="s">
        <v>203</v>
      </c>
      <c r="I20" s="89"/>
      <c r="J20" s="89"/>
      <c r="K20" s="19"/>
      <c r="L20" s="119"/>
      <c r="M20" s="119"/>
      <c r="N20" s="119"/>
      <c r="O20" s="119"/>
      <c r="P20" s="109"/>
      <c r="Q20" s="113"/>
    </row>
    <row r="21" spans="1:17" ht="15" customHeight="1" x14ac:dyDescent="0.3">
      <c r="A21" s="202"/>
      <c r="B21" s="203"/>
      <c r="C21" s="204"/>
      <c r="D21" s="194">
        <v>0</v>
      </c>
      <c r="E21" s="191">
        <f t="shared" si="1"/>
        <v>0</v>
      </c>
      <c r="F21" s="192">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v>0</v>
      </c>
      <c r="G24" s="90"/>
      <c r="H24" s="77"/>
      <c r="I24" s="27" t="s">
        <v>104</v>
      </c>
      <c r="J24" s="24"/>
      <c r="K24" s="24"/>
      <c r="L24" s="24"/>
      <c r="M24" s="119"/>
      <c r="N24" s="119"/>
      <c r="O24" s="119"/>
      <c r="P24" s="109"/>
      <c r="Q24" s="113"/>
    </row>
    <row r="25" spans="1:17" ht="15" customHeight="1" thickBot="1" x14ac:dyDescent="0.35">
      <c r="A25" s="202"/>
      <c r="B25" s="203"/>
      <c r="C25" s="204"/>
      <c r="D25" s="205">
        <v>0</v>
      </c>
      <c r="E25" s="269">
        <f t="shared" si="1"/>
        <v>0</v>
      </c>
      <c r="F25" s="206">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0">
        <f>SUM(D12:D25)</f>
        <v>0</v>
      </c>
      <c r="E26" s="271">
        <f>+D26*0.08</f>
        <v>0</v>
      </c>
      <c r="F26" s="272">
        <f>SUM(D26:E26)</f>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220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ht="13.8" customHeight="1" x14ac:dyDescent="0.25">
      <c r="A38" s="139" t="s">
        <v>147</v>
      </c>
      <c r="B38" s="140"/>
      <c r="C38" s="140"/>
      <c r="D38" s="140"/>
      <c r="E38" s="140"/>
      <c r="F38" s="140"/>
      <c r="G38" s="140"/>
      <c r="H38" s="140"/>
      <c r="I38" s="140"/>
      <c r="J38" s="140"/>
      <c r="K38" s="140"/>
      <c r="L38" s="140"/>
      <c r="M38" s="140"/>
      <c r="N38" s="140"/>
      <c r="O38" s="140"/>
      <c r="P38" s="140"/>
      <c r="Q38" s="141"/>
    </row>
    <row r="39" spans="1:17" ht="30" customHeight="1" x14ac:dyDescent="0.25">
      <c r="A39" s="487" t="s">
        <v>248</v>
      </c>
      <c r="B39" s="488"/>
      <c r="C39" s="488"/>
      <c r="D39" s="488"/>
      <c r="E39" s="488"/>
      <c r="F39" s="488"/>
      <c r="G39" s="488"/>
      <c r="H39" s="488"/>
      <c r="I39" s="488"/>
      <c r="J39" s="488"/>
      <c r="K39" s="488"/>
      <c r="L39" s="488"/>
      <c r="M39" s="488"/>
      <c r="N39" s="488"/>
      <c r="O39" s="488"/>
      <c r="P39" s="488"/>
      <c r="Q39" s="489"/>
    </row>
    <row r="40" spans="1:17" ht="27" customHeight="1" x14ac:dyDescent="0.25">
      <c r="A40" s="490"/>
      <c r="B40" s="491"/>
      <c r="C40" s="491"/>
      <c r="D40" s="491"/>
      <c r="E40" s="491"/>
      <c r="F40" s="19"/>
      <c r="G40" s="492"/>
      <c r="H40" s="492"/>
      <c r="I40" s="88"/>
      <c r="J40" s="491"/>
      <c r="K40" s="491"/>
      <c r="L40" s="491"/>
      <c r="M40" s="491"/>
      <c r="N40" s="491"/>
      <c r="O40" s="19"/>
      <c r="P40" s="492"/>
      <c r="Q40" s="493"/>
    </row>
    <row r="41" spans="1:17" ht="13.8" customHeight="1" x14ac:dyDescent="0.25">
      <c r="A41" s="30" t="s">
        <v>219</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478" t="s">
        <v>247</v>
      </c>
      <c r="B47" s="479"/>
      <c r="C47" s="479"/>
      <c r="D47" s="479"/>
      <c r="E47" s="479"/>
      <c r="F47" s="479"/>
      <c r="G47" s="479"/>
      <c r="H47" s="479"/>
      <c r="I47" s="479"/>
      <c r="J47" s="479"/>
      <c r="K47" s="479"/>
      <c r="L47" s="479"/>
      <c r="M47" s="479"/>
      <c r="N47" s="479"/>
      <c r="O47" s="479"/>
      <c r="P47" s="479"/>
      <c r="Q47" s="480"/>
    </row>
    <row r="48" spans="1:17" s="79" customFormat="1" ht="55.05" customHeight="1" thickBot="1" x14ac:dyDescent="0.3">
      <c r="A48" s="511" t="s">
        <v>50</v>
      </c>
      <c r="B48" s="512"/>
      <c r="C48" s="380" t="s">
        <v>249</v>
      </c>
      <c r="D48" s="381" t="s">
        <v>0</v>
      </c>
      <c r="E48" s="381"/>
      <c r="F48" s="380" t="s">
        <v>46</v>
      </c>
      <c r="G48" s="512" t="s">
        <v>133</v>
      </c>
      <c r="H48" s="512"/>
      <c r="I48" s="512"/>
      <c r="J48" s="380" t="s">
        <v>62</v>
      </c>
      <c r="K48" s="380" t="s">
        <v>138</v>
      </c>
      <c r="L48" s="380" t="s">
        <v>137</v>
      </c>
      <c r="M48" s="380" t="s">
        <v>34</v>
      </c>
      <c r="N48" s="380" t="s">
        <v>250</v>
      </c>
      <c r="O48" s="380" t="s">
        <v>139</v>
      </c>
      <c r="P48" s="380" t="s">
        <v>63</v>
      </c>
      <c r="Q48" s="382" t="s">
        <v>251</v>
      </c>
    </row>
    <row r="49" spans="1:17" ht="19.95" customHeight="1" x14ac:dyDescent="0.25">
      <c r="A49" s="494" t="s">
        <v>196</v>
      </c>
      <c r="B49" s="495"/>
      <c r="C49" s="509">
        <f>+'HS - Positions and Funding'!B50</f>
        <v>6977</v>
      </c>
      <c r="D49" s="503" t="s">
        <v>58</v>
      </c>
      <c r="E49" s="503"/>
      <c r="F49" s="377" t="s">
        <v>22</v>
      </c>
      <c r="G49" s="504"/>
      <c r="H49" s="504"/>
      <c r="I49" s="504"/>
      <c r="J49" s="195"/>
      <c r="K49" s="195"/>
      <c r="L49" s="195"/>
      <c r="M49" s="195"/>
      <c r="N49" s="196">
        <f>IF(M49&gt;0,HLOOKUP(F49,Tables!$D$3:$M$22,M49+1,0),0)</f>
        <v>0</v>
      </c>
      <c r="O49" s="378">
        <v>0</v>
      </c>
      <c r="P49" s="378">
        <v>0</v>
      </c>
      <c r="Q49" s="379">
        <f t="shared" ref="Q49" si="2">SUM(O49:P49)</f>
        <v>0</v>
      </c>
    </row>
    <row r="50" spans="1:17" ht="19.95" customHeight="1" x14ac:dyDescent="0.25">
      <c r="A50" s="494"/>
      <c r="B50" s="495"/>
      <c r="C50" s="509"/>
      <c r="D50" s="445" t="s">
        <v>59</v>
      </c>
      <c r="E50" s="445"/>
      <c r="F50" s="174" t="s">
        <v>10</v>
      </c>
      <c r="G50" s="450"/>
      <c r="H50" s="450"/>
      <c r="I50" s="450"/>
      <c r="J50" s="175"/>
      <c r="K50" s="175"/>
      <c r="L50" s="175"/>
      <c r="M50" s="175"/>
      <c r="N50" s="176">
        <f>IF(M50&gt;0,HLOOKUP(F50,Tables!$D$3:$M$22,M50+1,0),0)</f>
        <v>0</v>
      </c>
      <c r="O50" s="177">
        <v>0</v>
      </c>
      <c r="P50" s="177">
        <v>0</v>
      </c>
      <c r="Q50" s="178">
        <f t="shared" ref="Q50" si="3">SUM(O50:P50)</f>
        <v>0</v>
      </c>
    </row>
    <row r="51" spans="1:17" ht="19.95" customHeight="1" x14ac:dyDescent="0.25">
      <c r="A51" s="494"/>
      <c r="B51" s="495"/>
      <c r="C51" s="509"/>
      <c r="D51" s="445" t="s">
        <v>59</v>
      </c>
      <c r="E51" s="445"/>
      <c r="F51" s="174" t="s">
        <v>10</v>
      </c>
      <c r="G51" s="450"/>
      <c r="H51" s="450"/>
      <c r="I51" s="450"/>
      <c r="J51" s="175"/>
      <c r="K51" s="175"/>
      <c r="L51" s="175"/>
      <c r="M51" s="175"/>
      <c r="N51" s="176">
        <f>IF(M51&gt;0,HLOOKUP(F51,Tables!$D$3:$M$22,M51+1,0),0)</f>
        <v>0</v>
      </c>
      <c r="O51" s="177">
        <v>0</v>
      </c>
      <c r="P51" s="177">
        <v>0</v>
      </c>
      <c r="Q51" s="178">
        <f t="shared" ref="Q51" si="4">SUM(O51:P51)</f>
        <v>0</v>
      </c>
    </row>
    <row r="52" spans="1:17" ht="19.95" customHeight="1" x14ac:dyDescent="0.25">
      <c r="A52" s="494"/>
      <c r="B52" s="495"/>
      <c r="C52" s="509"/>
      <c r="D52" s="501" t="s">
        <v>59</v>
      </c>
      <c r="E52" s="502"/>
      <c r="F52" s="174" t="s">
        <v>10</v>
      </c>
      <c r="G52" s="506"/>
      <c r="H52" s="507"/>
      <c r="I52" s="508"/>
      <c r="J52" s="175"/>
      <c r="K52" s="175"/>
      <c r="L52" s="175"/>
      <c r="M52" s="175"/>
      <c r="N52" s="176">
        <f>IF(M52&gt;0,HLOOKUP(F52,Tables!$D$3:$M$22,M52+1,0),0)</f>
        <v>0</v>
      </c>
      <c r="O52" s="177">
        <v>0</v>
      </c>
      <c r="P52" s="177">
        <v>0</v>
      </c>
      <c r="Q52" s="178">
        <f t="shared" ref="Q52:Q54" si="5">SUM(O52:P52)</f>
        <v>0</v>
      </c>
    </row>
    <row r="53" spans="1:17" ht="19.95" customHeight="1" x14ac:dyDescent="0.25">
      <c r="A53" s="494"/>
      <c r="B53" s="495"/>
      <c r="C53" s="509"/>
      <c r="D53" s="501" t="s">
        <v>59</v>
      </c>
      <c r="E53" s="502"/>
      <c r="F53" s="174" t="s">
        <v>10</v>
      </c>
      <c r="G53" s="506"/>
      <c r="H53" s="507"/>
      <c r="I53" s="508"/>
      <c r="J53" s="175"/>
      <c r="K53" s="175"/>
      <c r="L53" s="175"/>
      <c r="M53" s="175"/>
      <c r="N53" s="176">
        <f>IF(M53&gt;0,HLOOKUP(F53,Tables!$D$3:$M$22,M53+1,0),0)</f>
        <v>0</v>
      </c>
      <c r="O53" s="177">
        <v>0</v>
      </c>
      <c r="P53" s="177">
        <v>0</v>
      </c>
      <c r="Q53" s="178">
        <f t="shared" si="5"/>
        <v>0</v>
      </c>
    </row>
    <row r="54" spans="1:17" ht="19.95" customHeight="1" x14ac:dyDescent="0.25">
      <c r="A54" s="494"/>
      <c r="B54" s="495"/>
      <c r="C54" s="509"/>
      <c r="D54" s="501" t="s">
        <v>59</v>
      </c>
      <c r="E54" s="502"/>
      <c r="F54" s="174" t="s">
        <v>10</v>
      </c>
      <c r="G54" s="506"/>
      <c r="H54" s="507"/>
      <c r="I54" s="508"/>
      <c r="J54" s="175"/>
      <c r="K54" s="175"/>
      <c r="L54" s="175"/>
      <c r="M54" s="175"/>
      <c r="N54" s="176">
        <f>IF(M54&gt;0,HLOOKUP(F54,Tables!$D$3:$M$22,M54+1,0),0)</f>
        <v>0</v>
      </c>
      <c r="O54" s="177">
        <v>0</v>
      </c>
      <c r="P54" s="177">
        <v>0</v>
      </c>
      <c r="Q54" s="178">
        <f t="shared" si="5"/>
        <v>0</v>
      </c>
    </row>
    <row r="55" spans="1:17" ht="19.95" customHeight="1" x14ac:dyDescent="0.25">
      <c r="A55" s="494"/>
      <c r="B55" s="495"/>
      <c r="C55" s="509"/>
      <c r="D55" s="501" t="s">
        <v>59</v>
      </c>
      <c r="E55" s="502"/>
      <c r="F55" s="174" t="s">
        <v>10</v>
      </c>
      <c r="G55" s="506"/>
      <c r="H55" s="507"/>
      <c r="I55" s="508"/>
      <c r="J55" s="175"/>
      <c r="K55" s="175"/>
      <c r="L55" s="175"/>
      <c r="M55" s="175"/>
      <c r="N55" s="176">
        <f>IF(M55&gt;0,HLOOKUP(F55,Tables!$D$3:$M$22,M55+1,0),0)</f>
        <v>0</v>
      </c>
      <c r="O55" s="177">
        <v>0</v>
      </c>
      <c r="P55" s="177">
        <v>0</v>
      </c>
      <c r="Q55" s="178">
        <f t="shared" ref="Q55:Q56" si="6">SUM(O55:P55)</f>
        <v>0</v>
      </c>
    </row>
    <row r="56" spans="1:17" s="143" customFormat="1" ht="19.95" customHeight="1" thickBot="1" x14ac:dyDescent="0.35">
      <c r="A56" s="456"/>
      <c r="B56" s="457"/>
      <c r="C56" s="510"/>
      <c r="D56" s="447" t="str">
        <f>CONCATENATE(A49," Totals")</f>
        <v>Marching Band Totals</v>
      </c>
      <c r="E56" s="448"/>
      <c r="F56" s="448"/>
      <c r="G56" s="448"/>
      <c r="H56" s="448"/>
      <c r="I56" s="448"/>
      <c r="J56" s="448"/>
      <c r="K56" s="448"/>
      <c r="L56" s="448"/>
      <c r="M56" s="449"/>
      <c r="N56" s="180">
        <f>SUM(N49:N55)</f>
        <v>0</v>
      </c>
      <c r="O56" s="180">
        <f>SUM(O49:O55)</f>
        <v>0</v>
      </c>
      <c r="P56" s="180">
        <f>SUM(P49:P55)</f>
        <v>0</v>
      </c>
      <c r="Q56" s="181">
        <f t="shared" si="6"/>
        <v>0</v>
      </c>
    </row>
    <row r="57" spans="1:17" s="143" customFormat="1" ht="19.95" customHeight="1" x14ac:dyDescent="0.25">
      <c r="A57" s="452" t="s">
        <v>244</v>
      </c>
      <c r="B57" s="453"/>
      <c r="C57" s="475">
        <f>+'HS - Positions and Funding'!B24</f>
        <v>0</v>
      </c>
      <c r="D57" s="446" t="s">
        <v>58</v>
      </c>
      <c r="E57" s="446"/>
      <c r="F57" s="376" t="s">
        <v>79</v>
      </c>
      <c r="G57" s="500" t="s">
        <v>79</v>
      </c>
      <c r="H57" s="500"/>
      <c r="I57" s="500"/>
      <c r="J57" s="208" t="s">
        <v>79</v>
      </c>
      <c r="K57" s="208" t="s">
        <v>79</v>
      </c>
      <c r="L57" s="208" t="s">
        <v>79</v>
      </c>
      <c r="M57" s="208" t="s">
        <v>79</v>
      </c>
      <c r="N57" s="208" t="s">
        <v>79</v>
      </c>
      <c r="O57" s="208" t="s">
        <v>79</v>
      </c>
      <c r="P57" s="208" t="s">
        <v>79</v>
      </c>
      <c r="Q57" s="266" t="s">
        <v>79</v>
      </c>
    </row>
    <row r="58" spans="1:17" s="143" customFormat="1" ht="19.95" customHeight="1" x14ac:dyDescent="0.25">
      <c r="A58" s="494"/>
      <c r="B58" s="495"/>
      <c r="C58" s="496"/>
      <c r="D58" s="445" t="s">
        <v>59</v>
      </c>
      <c r="E58" s="445"/>
      <c r="F58" s="174" t="s">
        <v>5</v>
      </c>
      <c r="G58" s="450"/>
      <c r="H58" s="450"/>
      <c r="I58" s="450"/>
      <c r="J58" s="175"/>
      <c r="K58" s="175"/>
      <c r="L58" s="175"/>
      <c r="M58" s="175"/>
      <c r="N58" s="176">
        <f>IF(M58&gt;0,HLOOKUP(F58,Tables!$D$3:$M$22,M58+1,0),0)</f>
        <v>0</v>
      </c>
      <c r="O58" s="213" t="s">
        <v>79</v>
      </c>
      <c r="P58" s="177">
        <v>0</v>
      </c>
      <c r="Q58" s="178">
        <f t="shared" ref="Q58" si="7">SUM(O58:P58)</f>
        <v>0</v>
      </c>
    </row>
    <row r="59" spans="1:17" s="143" customFormat="1" ht="19.95" customHeight="1" x14ac:dyDescent="0.25">
      <c r="A59" s="494"/>
      <c r="B59" s="495"/>
      <c r="C59" s="496"/>
      <c r="D59" s="445" t="s">
        <v>59</v>
      </c>
      <c r="E59" s="445"/>
      <c r="F59" s="174" t="s">
        <v>5</v>
      </c>
      <c r="G59" s="450"/>
      <c r="H59" s="450"/>
      <c r="I59" s="450"/>
      <c r="J59" s="175"/>
      <c r="K59" s="175"/>
      <c r="L59" s="175"/>
      <c r="M59" s="175"/>
      <c r="N59" s="176">
        <f>IF(M59&gt;0,HLOOKUP(F59,Tables!$D$3:$M$22,M59+1,0),0)</f>
        <v>0</v>
      </c>
      <c r="O59" s="213" t="s">
        <v>79</v>
      </c>
      <c r="P59" s="177">
        <v>0</v>
      </c>
      <c r="Q59" s="178">
        <f t="shared" ref="Q59:Q60" si="8">SUM(O59:P59)</f>
        <v>0</v>
      </c>
    </row>
    <row r="60" spans="1:17" s="143" customFormat="1" ht="19.95" customHeight="1" thickBot="1" x14ac:dyDescent="0.35">
      <c r="A60" s="456"/>
      <c r="B60" s="457"/>
      <c r="C60" s="477"/>
      <c r="D60" s="447" t="str">
        <f>CONCATENATE(A57," Totals")</f>
        <v>Color Guard Totals</v>
      </c>
      <c r="E60" s="448"/>
      <c r="F60" s="448"/>
      <c r="G60" s="448"/>
      <c r="H60" s="448"/>
      <c r="I60" s="448"/>
      <c r="J60" s="448"/>
      <c r="K60" s="448"/>
      <c r="L60" s="448"/>
      <c r="M60" s="449"/>
      <c r="N60" s="180">
        <f>SUM(N57:N59)</f>
        <v>0</v>
      </c>
      <c r="O60" s="180">
        <f>SUM(O57:O59)</f>
        <v>0</v>
      </c>
      <c r="P60" s="180">
        <f>SUM(P57:P59)</f>
        <v>0</v>
      </c>
      <c r="Q60" s="181">
        <f t="shared" si="8"/>
        <v>0</v>
      </c>
    </row>
    <row r="61" spans="1:17" s="143" customFormat="1" ht="19.95" customHeight="1" x14ac:dyDescent="0.25">
      <c r="A61" s="452" t="s">
        <v>197</v>
      </c>
      <c r="B61" s="453"/>
      <c r="C61" s="475">
        <f>+'HS - Positions and Funding'!B38</f>
        <v>1526</v>
      </c>
      <c r="D61" s="446" t="s">
        <v>58</v>
      </c>
      <c r="E61" s="446"/>
      <c r="F61" s="376" t="s">
        <v>79</v>
      </c>
      <c r="G61" s="505" t="s">
        <v>79</v>
      </c>
      <c r="H61" s="505"/>
      <c r="I61" s="505"/>
      <c r="J61" s="198" t="s">
        <v>79</v>
      </c>
      <c r="K61" s="198" t="s">
        <v>79</v>
      </c>
      <c r="L61" s="198" t="s">
        <v>79</v>
      </c>
      <c r="M61" s="198" t="s">
        <v>79</v>
      </c>
      <c r="N61" s="198" t="s">
        <v>79</v>
      </c>
      <c r="O61" s="198" t="s">
        <v>79</v>
      </c>
      <c r="P61" s="198" t="s">
        <v>79</v>
      </c>
      <c r="Q61" s="199" t="s">
        <v>79</v>
      </c>
    </row>
    <row r="62" spans="1:17" s="143" customFormat="1" ht="19.95" customHeight="1" x14ac:dyDescent="0.25">
      <c r="A62" s="494"/>
      <c r="B62" s="495"/>
      <c r="C62" s="496"/>
      <c r="D62" s="445" t="s">
        <v>59</v>
      </c>
      <c r="E62" s="445"/>
      <c r="F62" s="174" t="s">
        <v>5</v>
      </c>
      <c r="G62" s="450"/>
      <c r="H62" s="450"/>
      <c r="I62" s="450"/>
      <c r="J62" s="175"/>
      <c r="K62" s="175"/>
      <c r="L62" s="175"/>
      <c r="M62" s="175"/>
      <c r="N62" s="176">
        <f>IF(M62&gt;0,HLOOKUP(F62,Tables!$D$3:$M$22,M62+1,0),0)</f>
        <v>0</v>
      </c>
      <c r="O62" s="177">
        <v>0</v>
      </c>
      <c r="P62" s="177">
        <v>0</v>
      </c>
      <c r="Q62" s="178">
        <f t="shared" ref="Q62" si="9">SUM(O62:P62)</f>
        <v>0</v>
      </c>
    </row>
    <row r="63" spans="1:17" s="143" customFormat="1" ht="19.95" customHeight="1" x14ac:dyDescent="0.25">
      <c r="A63" s="494"/>
      <c r="B63" s="495"/>
      <c r="C63" s="496"/>
      <c r="D63" s="445" t="s">
        <v>59</v>
      </c>
      <c r="E63" s="445"/>
      <c r="F63" s="174" t="s">
        <v>5</v>
      </c>
      <c r="G63" s="450"/>
      <c r="H63" s="450"/>
      <c r="I63" s="450"/>
      <c r="J63" s="175"/>
      <c r="K63" s="175"/>
      <c r="L63" s="175"/>
      <c r="M63" s="175"/>
      <c r="N63" s="176">
        <f>IF(M63&gt;0,HLOOKUP(F63,Tables!$D$3:$M$22,M63+1,0),0)</f>
        <v>0</v>
      </c>
      <c r="O63" s="177">
        <v>0</v>
      </c>
      <c r="P63" s="177">
        <v>0</v>
      </c>
      <c r="Q63" s="178">
        <f t="shared" ref="Q63:Q64" si="10">SUM(O63:P63)</f>
        <v>0</v>
      </c>
    </row>
    <row r="64" spans="1:17" s="143" customFormat="1" ht="19.95" customHeight="1" thickBot="1" x14ac:dyDescent="0.35">
      <c r="A64" s="456"/>
      <c r="B64" s="457"/>
      <c r="C64" s="477"/>
      <c r="D64" s="447" t="str">
        <f>CONCATENATE(A61," Totals")</f>
        <v>Drum Line Totals</v>
      </c>
      <c r="E64" s="448"/>
      <c r="F64" s="448"/>
      <c r="G64" s="448"/>
      <c r="H64" s="448"/>
      <c r="I64" s="448"/>
      <c r="J64" s="448"/>
      <c r="K64" s="448"/>
      <c r="L64" s="448"/>
      <c r="M64" s="449"/>
      <c r="N64" s="180">
        <f>SUM(N61:N63)</f>
        <v>0</v>
      </c>
      <c r="O64" s="180">
        <f>SUM(O61:O63)</f>
        <v>0</v>
      </c>
      <c r="P64" s="180">
        <f>SUM(P61:P63)</f>
        <v>0</v>
      </c>
      <c r="Q64" s="181">
        <f t="shared" si="10"/>
        <v>0</v>
      </c>
    </row>
    <row r="65" spans="1:17" s="142" customFormat="1" ht="19.95" customHeight="1" thickBot="1" x14ac:dyDescent="0.35">
      <c r="A65" s="182"/>
      <c r="B65" s="183"/>
      <c r="C65" s="183"/>
      <c r="D65" s="183"/>
      <c r="E65" s="183"/>
      <c r="F65" s="183"/>
      <c r="G65" s="183"/>
      <c r="H65" s="183"/>
      <c r="I65" s="183"/>
      <c r="J65" s="183"/>
      <c r="K65" s="183"/>
      <c r="L65" s="183"/>
      <c r="M65" s="184" t="s">
        <v>134</v>
      </c>
      <c r="N65" s="185">
        <f>+N56+N64+N60</f>
        <v>0</v>
      </c>
      <c r="O65" s="185">
        <f>+O56+O64+O60</f>
        <v>0</v>
      </c>
      <c r="P65" s="185">
        <f>+P56+P64+P60</f>
        <v>0</v>
      </c>
      <c r="Q65" s="186">
        <f>+Q56+Q64+Q60</f>
        <v>0</v>
      </c>
    </row>
    <row r="66" spans="1:17" ht="12.75" customHeight="1" x14ac:dyDescent="0.25">
      <c r="A66" s="152" t="s">
        <v>178</v>
      </c>
      <c r="B66" s="11"/>
      <c r="C66" s="11"/>
      <c r="D66" s="11"/>
      <c r="E66" s="11"/>
      <c r="F66" s="11"/>
      <c r="G66" s="11"/>
      <c r="H66" s="11"/>
      <c r="I66" s="11"/>
      <c r="J66" s="11"/>
      <c r="K66" s="11"/>
      <c r="L66" s="11"/>
      <c r="M66" s="11"/>
      <c r="N66" s="11"/>
      <c r="O66" s="11"/>
      <c r="P66" s="11"/>
      <c r="Q66" s="132"/>
    </row>
    <row r="67" spans="1:17" ht="12.75" customHeight="1" x14ac:dyDescent="0.25">
      <c r="A67" s="153" t="s">
        <v>221</v>
      </c>
      <c r="B67" s="19"/>
      <c r="C67" s="19"/>
      <c r="D67" s="19"/>
      <c r="E67" s="19"/>
      <c r="F67" s="19"/>
      <c r="G67" s="19"/>
      <c r="H67" s="19"/>
      <c r="I67" s="19"/>
      <c r="J67" s="19"/>
      <c r="K67" s="19"/>
      <c r="L67" s="19"/>
      <c r="M67" s="19"/>
      <c r="N67" s="19"/>
      <c r="O67" s="19"/>
      <c r="P67" s="19"/>
      <c r="Q67" s="29"/>
    </row>
    <row r="68" spans="1:17" ht="12.75" customHeight="1" x14ac:dyDescent="0.25">
      <c r="A68" s="154" t="s">
        <v>179</v>
      </c>
      <c r="B68" s="19"/>
      <c r="C68" s="19"/>
      <c r="D68" s="19"/>
      <c r="E68" s="19"/>
      <c r="F68" s="19"/>
      <c r="G68" s="19"/>
      <c r="H68" s="19"/>
      <c r="I68" s="19"/>
      <c r="J68" s="19"/>
      <c r="K68" s="19"/>
      <c r="L68" s="19"/>
      <c r="M68" s="19"/>
      <c r="N68" s="19"/>
      <c r="O68" s="19"/>
      <c r="P68" s="19"/>
      <c r="Q68" s="29"/>
    </row>
    <row r="69" spans="1:17" ht="12.75" customHeight="1" x14ac:dyDescent="0.25">
      <c r="A69" s="154" t="s">
        <v>207</v>
      </c>
      <c r="B69" s="19"/>
      <c r="C69" s="19"/>
      <c r="D69" s="19"/>
      <c r="E69" s="19"/>
      <c r="F69" s="19"/>
      <c r="G69" s="19"/>
      <c r="H69" s="19"/>
      <c r="I69" s="19"/>
      <c r="J69" s="19"/>
      <c r="K69" s="19"/>
      <c r="L69" s="19"/>
      <c r="M69" s="19"/>
      <c r="N69" s="19"/>
      <c r="O69" s="19"/>
      <c r="P69" s="19"/>
      <c r="Q69" s="29"/>
    </row>
    <row r="70" spans="1:17" ht="12.75" customHeight="1" x14ac:dyDescent="0.25">
      <c r="A70" s="154" t="s">
        <v>208</v>
      </c>
      <c r="B70" s="19"/>
      <c r="C70" s="19"/>
      <c r="D70" s="19"/>
      <c r="E70" s="19"/>
      <c r="F70" s="19"/>
      <c r="G70" s="19"/>
      <c r="H70" s="19"/>
      <c r="I70" s="19"/>
      <c r="J70" s="19"/>
      <c r="K70" s="19"/>
      <c r="L70" s="19"/>
      <c r="M70" s="19"/>
      <c r="N70" s="19"/>
      <c r="O70" s="19"/>
      <c r="P70" s="19"/>
      <c r="Q70" s="29"/>
    </row>
    <row r="71" spans="1:17" x14ac:dyDescent="0.25">
      <c r="A71" s="153" t="s">
        <v>171</v>
      </c>
      <c r="B71" s="19"/>
      <c r="C71" s="19"/>
      <c r="D71" s="19"/>
      <c r="E71" s="19"/>
      <c r="F71" s="19"/>
      <c r="G71" s="19"/>
      <c r="H71" s="19"/>
      <c r="I71" s="19"/>
      <c r="J71" s="19"/>
      <c r="K71" s="19"/>
      <c r="L71" s="19"/>
      <c r="M71" s="19"/>
      <c r="N71" s="19"/>
      <c r="O71" s="19"/>
      <c r="P71" s="19"/>
      <c r="Q71" s="29"/>
    </row>
    <row r="72" spans="1:17" x14ac:dyDescent="0.25">
      <c r="A72" s="154" t="s">
        <v>222</v>
      </c>
      <c r="B72" s="19"/>
      <c r="C72" s="19"/>
      <c r="D72" s="19"/>
      <c r="E72" s="19"/>
      <c r="F72" s="19"/>
      <c r="G72" s="19"/>
      <c r="H72" s="19"/>
      <c r="I72" s="19"/>
      <c r="J72" s="19"/>
      <c r="K72" s="19"/>
      <c r="L72" s="19"/>
      <c r="M72" s="19"/>
      <c r="N72" s="19"/>
      <c r="O72" s="19"/>
      <c r="P72" s="19"/>
      <c r="Q72" s="29"/>
    </row>
    <row r="73" spans="1:17" x14ac:dyDescent="0.25">
      <c r="A73" s="155" t="s">
        <v>177</v>
      </c>
      <c r="B73" s="19"/>
      <c r="C73" s="19"/>
      <c r="D73" s="19"/>
      <c r="E73" s="19"/>
      <c r="F73" s="19"/>
      <c r="G73" s="19"/>
      <c r="H73" s="19"/>
      <c r="I73" s="19"/>
      <c r="J73" s="19"/>
      <c r="K73" s="19"/>
      <c r="L73" s="19"/>
      <c r="M73" s="19"/>
      <c r="N73" s="19"/>
      <c r="O73" s="19"/>
      <c r="P73" s="19"/>
      <c r="Q73" s="29"/>
    </row>
    <row r="74" spans="1:17" x14ac:dyDescent="0.25">
      <c r="A74" s="155" t="s">
        <v>209</v>
      </c>
      <c r="B74" s="19"/>
      <c r="C74" s="19"/>
      <c r="D74" s="19"/>
      <c r="E74" s="19"/>
      <c r="F74" s="19"/>
      <c r="G74" s="19"/>
      <c r="H74" s="19"/>
      <c r="I74" s="19"/>
      <c r="J74" s="19"/>
      <c r="K74" s="19"/>
      <c r="L74" s="19"/>
      <c r="M74" s="19"/>
      <c r="N74" s="19"/>
      <c r="O74" s="19"/>
      <c r="P74" s="19"/>
      <c r="Q74" s="29"/>
    </row>
    <row r="75" spans="1:17" x14ac:dyDescent="0.25">
      <c r="A75" s="156" t="s">
        <v>172</v>
      </c>
      <c r="B75" s="19"/>
      <c r="C75" s="19"/>
      <c r="D75" s="19"/>
      <c r="E75" s="19"/>
      <c r="F75" s="19"/>
      <c r="G75" s="19"/>
      <c r="H75" s="19"/>
      <c r="I75" s="19"/>
      <c r="J75" s="19"/>
      <c r="K75" s="19"/>
      <c r="L75" s="19"/>
      <c r="M75" s="19"/>
      <c r="N75" s="19"/>
      <c r="O75" s="19"/>
      <c r="P75" s="19"/>
      <c r="Q75" s="29"/>
    </row>
    <row r="76" spans="1:17" x14ac:dyDescent="0.25">
      <c r="A76" s="155" t="s">
        <v>223</v>
      </c>
      <c r="B76" s="19"/>
      <c r="C76" s="19"/>
      <c r="D76" s="19"/>
      <c r="E76" s="19"/>
      <c r="F76" s="19"/>
      <c r="G76" s="19"/>
      <c r="H76" s="19"/>
      <c r="I76" s="19"/>
      <c r="J76" s="19"/>
      <c r="K76" s="19"/>
      <c r="L76" s="19"/>
      <c r="M76" s="19"/>
      <c r="N76" s="19"/>
      <c r="O76" s="19"/>
      <c r="P76" s="19"/>
      <c r="Q76" s="29"/>
    </row>
    <row r="77" spans="1:17" x14ac:dyDescent="0.25">
      <c r="A77" s="155" t="s">
        <v>210</v>
      </c>
      <c r="B77" s="19"/>
      <c r="C77" s="19"/>
      <c r="D77" s="19"/>
      <c r="E77" s="19"/>
      <c r="F77" s="19"/>
      <c r="G77" s="19"/>
      <c r="H77" s="19"/>
      <c r="I77" s="19"/>
      <c r="J77" s="19"/>
      <c r="K77" s="19"/>
      <c r="L77" s="19"/>
      <c r="M77" s="19"/>
      <c r="N77" s="19"/>
      <c r="O77" s="19"/>
      <c r="P77" s="19"/>
      <c r="Q77" s="29"/>
    </row>
    <row r="78" spans="1:17" x14ac:dyDescent="0.25">
      <c r="A78" s="156" t="s">
        <v>173</v>
      </c>
      <c r="B78" s="19"/>
      <c r="C78" s="19"/>
      <c r="D78" s="19"/>
      <c r="E78" s="19"/>
      <c r="F78" s="19"/>
      <c r="G78" s="19"/>
      <c r="H78" s="19"/>
      <c r="I78" s="19"/>
      <c r="J78" s="19"/>
      <c r="K78" s="19"/>
      <c r="L78" s="19"/>
      <c r="M78" s="19"/>
      <c r="N78" s="19"/>
      <c r="O78" s="19"/>
      <c r="P78" s="19"/>
      <c r="Q78" s="29"/>
    </row>
    <row r="79" spans="1:17" x14ac:dyDescent="0.25">
      <c r="A79" s="155" t="s">
        <v>224</v>
      </c>
      <c r="B79" s="19"/>
      <c r="C79" s="19"/>
      <c r="D79" s="19"/>
      <c r="E79" s="19"/>
      <c r="F79" s="19"/>
      <c r="G79" s="19"/>
      <c r="H79" s="19"/>
      <c r="I79" s="19"/>
      <c r="J79" s="19"/>
      <c r="K79" s="19"/>
      <c r="L79" s="19"/>
      <c r="M79" s="19"/>
      <c r="N79" s="19"/>
      <c r="O79" s="19"/>
      <c r="P79" s="19"/>
      <c r="Q79" s="29"/>
    </row>
    <row r="80" spans="1:17" x14ac:dyDescent="0.25">
      <c r="A80" s="155" t="s">
        <v>176</v>
      </c>
      <c r="B80" s="19"/>
      <c r="C80" s="19"/>
      <c r="D80" s="19"/>
      <c r="E80" s="19"/>
      <c r="F80" s="19"/>
      <c r="G80" s="19"/>
      <c r="H80" s="19"/>
      <c r="I80" s="19"/>
      <c r="J80" s="19"/>
      <c r="K80" s="19"/>
      <c r="L80" s="19"/>
      <c r="M80" s="19"/>
      <c r="N80" s="19"/>
      <c r="O80" s="19"/>
      <c r="P80" s="19"/>
      <c r="Q80" s="29"/>
    </row>
    <row r="81" spans="1:17" x14ac:dyDescent="0.25">
      <c r="A81" s="155" t="s">
        <v>212</v>
      </c>
      <c r="B81" s="19"/>
      <c r="C81" s="19"/>
      <c r="D81" s="19"/>
      <c r="E81" s="19"/>
      <c r="F81" s="19"/>
      <c r="G81" s="19"/>
      <c r="H81" s="19"/>
      <c r="I81" s="19"/>
      <c r="J81" s="19"/>
      <c r="K81" s="19"/>
      <c r="L81" s="19"/>
      <c r="M81" s="19"/>
      <c r="N81" s="19"/>
      <c r="O81" s="19"/>
      <c r="P81" s="19"/>
      <c r="Q81" s="29"/>
    </row>
    <row r="82" spans="1:17" x14ac:dyDescent="0.25">
      <c r="A82" s="156" t="s">
        <v>174</v>
      </c>
      <c r="B82" s="19"/>
      <c r="C82" s="19"/>
      <c r="D82" s="19"/>
      <c r="E82" s="19"/>
      <c r="F82" s="19"/>
      <c r="G82" s="19"/>
      <c r="H82" s="19"/>
      <c r="I82" s="19"/>
      <c r="J82" s="19"/>
      <c r="K82" s="19"/>
      <c r="L82" s="19"/>
      <c r="M82" s="19"/>
      <c r="N82" s="19"/>
      <c r="O82" s="19"/>
      <c r="P82" s="19"/>
      <c r="Q82" s="29"/>
    </row>
    <row r="83" spans="1:17" x14ac:dyDescent="0.25">
      <c r="A83" s="155" t="s">
        <v>213</v>
      </c>
      <c r="B83" s="19"/>
      <c r="C83" s="19"/>
      <c r="D83" s="19"/>
      <c r="E83" s="19"/>
      <c r="F83" s="19"/>
      <c r="G83" s="19"/>
      <c r="H83" s="19"/>
      <c r="I83" s="19"/>
      <c r="J83" s="19"/>
      <c r="K83" s="19"/>
      <c r="L83" s="19"/>
      <c r="M83" s="19"/>
      <c r="N83" s="19"/>
      <c r="O83" s="19"/>
      <c r="P83" s="19"/>
      <c r="Q83" s="29"/>
    </row>
    <row r="84" spans="1:17" x14ac:dyDescent="0.25">
      <c r="A84" s="155" t="s">
        <v>214</v>
      </c>
      <c r="B84" s="19"/>
      <c r="C84" s="19"/>
      <c r="D84" s="19"/>
      <c r="E84" s="19"/>
      <c r="F84" s="19"/>
      <c r="G84" s="19"/>
      <c r="H84" s="19"/>
      <c r="I84" s="19"/>
      <c r="J84" s="19"/>
      <c r="K84" s="19"/>
      <c r="L84" s="19"/>
      <c r="M84" s="19"/>
      <c r="N84" s="19"/>
      <c r="O84" s="19"/>
      <c r="P84" s="19"/>
      <c r="Q84" s="29"/>
    </row>
    <row r="85" spans="1:17" x14ac:dyDescent="0.25">
      <c r="A85" s="156" t="s">
        <v>175</v>
      </c>
      <c r="B85" s="19"/>
      <c r="C85" s="19"/>
      <c r="D85" s="19"/>
      <c r="E85" s="19"/>
      <c r="F85" s="19"/>
      <c r="G85" s="19"/>
      <c r="H85" s="19"/>
      <c r="I85" s="19"/>
      <c r="J85" s="19"/>
      <c r="K85" s="19"/>
      <c r="L85" s="19"/>
      <c r="M85" s="19"/>
      <c r="N85" s="19"/>
      <c r="O85" s="19"/>
      <c r="P85" s="19"/>
      <c r="Q85" s="29"/>
    </row>
    <row r="86" spans="1:17" x14ac:dyDescent="0.25">
      <c r="A86" s="155" t="s">
        <v>213</v>
      </c>
      <c r="B86" s="19"/>
      <c r="C86" s="19"/>
      <c r="D86" s="19"/>
      <c r="E86" s="19"/>
      <c r="F86" s="19"/>
      <c r="G86" s="19"/>
      <c r="H86" s="19"/>
      <c r="I86" s="19"/>
      <c r="J86" s="19"/>
      <c r="K86" s="19"/>
      <c r="L86" s="19"/>
      <c r="M86" s="19"/>
      <c r="N86" s="19"/>
      <c r="O86" s="19"/>
      <c r="P86" s="19"/>
      <c r="Q86" s="29"/>
    </row>
    <row r="87" spans="1:17" x14ac:dyDescent="0.25">
      <c r="A87" s="155" t="s">
        <v>190</v>
      </c>
      <c r="B87" s="19"/>
      <c r="C87" s="19"/>
      <c r="D87" s="19"/>
      <c r="E87" s="19"/>
      <c r="F87" s="19"/>
      <c r="G87" s="19"/>
      <c r="H87" s="19"/>
      <c r="I87" s="19"/>
      <c r="J87" s="19"/>
      <c r="K87" s="19"/>
      <c r="L87" s="19"/>
      <c r="M87" s="19"/>
      <c r="N87" s="19"/>
      <c r="O87" s="19"/>
      <c r="P87" s="19"/>
      <c r="Q87" s="29"/>
    </row>
    <row r="88" spans="1:17" x14ac:dyDescent="0.25">
      <c r="A88" s="156" t="s">
        <v>180</v>
      </c>
      <c r="B88" s="19"/>
      <c r="C88" s="19"/>
      <c r="D88" s="19"/>
      <c r="E88" s="19"/>
      <c r="F88" s="19"/>
      <c r="G88" s="19"/>
      <c r="H88" s="19"/>
      <c r="I88" s="19"/>
      <c r="J88" s="19"/>
      <c r="K88" s="19"/>
      <c r="L88" s="19"/>
      <c r="M88" s="19"/>
      <c r="N88" s="19"/>
      <c r="O88" s="19"/>
      <c r="P88" s="19"/>
      <c r="Q88" s="29"/>
    </row>
    <row r="89" spans="1:17" x14ac:dyDescent="0.25">
      <c r="A89" s="155" t="s">
        <v>215</v>
      </c>
      <c r="B89" s="19"/>
      <c r="C89" s="19"/>
      <c r="D89" s="19"/>
      <c r="E89" s="19"/>
      <c r="F89" s="19"/>
      <c r="G89" s="19"/>
      <c r="H89" s="19"/>
      <c r="I89" s="19"/>
      <c r="J89" s="19"/>
      <c r="K89" s="19"/>
      <c r="L89" s="19"/>
      <c r="M89" s="19"/>
      <c r="N89" s="19"/>
      <c r="O89" s="19"/>
      <c r="P89" s="19"/>
      <c r="Q89" s="29"/>
    </row>
    <row r="90" spans="1:17" x14ac:dyDescent="0.25">
      <c r="A90" s="155" t="s">
        <v>183</v>
      </c>
      <c r="B90" s="19"/>
      <c r="C90" s="19"/>
      <c r="D90" s="19"/>
      <c r="E90" s="19"/>
      <c r="F90" s="19"/>
      <c r="G90" s="19"/>
      <c r="H90" s="19"/>
      <c r="I90" s="19"/>
      <c r="J90" s="19"/>
      <c r="K90" s="19"/>
      <c r="L90" s="19"/>
      <c r="M90" s="19"/>
      <c r="N90" s="19"/>
      <c r="O90" s="19"/>
      <c r="P90" s="19"/>
      <c r="Q90" s="29"/>
    </row>
    <row r="91" spans="1:17" ht="13.8" thickBot="1" x14ac:dyDescent="0.3">
      <c r="A91" s="33"/>
      <c r="B91" s="34"/>
      <c r="C91" s="34"/>
      <c r="D91" s="34"/>
      <c r="E91" s="34"/>
      <c r="F91" s="34"/>
      <c r="G91" s="34"/>
      <c r="H91" s="34"/>
      <c r="I91" s="34"/>
      <c r="J91" s="34"/>
      <c r="K91" s="34"/>
      <c r="L91" s="34"/>
      <c r="M91" s="34"/>
      <c r="N91" s="34"/>
      <c r="O91" s="34"/>
      <c r="P91" s="34"/>
      <c r="Q91" s="35"/>
    </row>
  </sheetData>
  <sheetProtection algorithmName="SHA-512" hashValue="3CP8vbPJtFtcKN13l/gFfRdlkLemKMBMJ0vmIoQkiJFplNArxdEdQsZxB0zXOKVyx4+PLtdkiS+HW7tSnvcmCw==" saltValue="U2YeeeXTRJUiwB0jEYs5eA==" spinCount="100000" sheet="1" selectLockedCells="1"/>
  <mergeCells count="60">
    <mergeCell ref="A48:B48"/>
    <mergeCell ref="G48:I48"/>
    <mergeCell ref="O8:P8"/>
    <mergeCell ref="A2:Q2"/>
    <mergeCell ref="A3:Q3"/>
    <mergeCell ref="A5:Q5"/>
    <mergeCell ref="C7:F7"/>
    <mergeCell ref="O7:P7"/>
    <mergeCell ref="C8:F8"/>
    <mergeCell ref="A47:Q47"/>
    <mergeCell ref="A29:Q32"/>
    <mergeCell ref="A34:Q37"/>
    <mergeCell ref="A39:Q39"/>
    <mergeCell ref="A40:E40"/>
    <mergeCell ref="G40:H40"/>
    <mergeCell ref="J40:N40"/>
    <mergeCell ref="G54:I54"/>
    <mergeCell ref="G55:I55"/>
    <mergeCell ref="D56:M56"/>
    <mergeCell ref="C49:C56"/>
    <mergeCell ref="D58:E58"/>
    <mergeCell ref="G58:I58"/>
    <mergeCell ref="D51:E51"/>
    <mergeCell ref="G51:I51"/>
    <mergeCell ref="D52:E52"/>
    <mergeCell ref="D53:E53"/>
    <mergeCell ref="G52:I52"/>
    <mergeCell ref="G53:I53"/>
    <mergeCell ref="D64:M64"/>
    <mergeCell ref="A49:B56"/>
    <mergeCell ref="D49:E49"/>
    <mergeCell ref="G49:I49"/>
    <mergeCell ref="D55:E55"/>
    <mergeCell ref="G50:I50"/>
    <mergeCell ref="D50:E50"/>
    <mergeCell ref="A61:B64"/>
    <mergeCell ref="C61:C64"/>
    <mergeCell ref="D63:E63"/>
    <mergeCell ref="G63:I63"/>
    <mergeCell ref="D61:E61"/>
    <mergeCell ref="G61:I61"/>
    <mergeCell ref="A57:B60"/>
    <mergeCell ref="C57:C60"/>
    <mergeCell ref="D57:E57"/>
    <mergeCell ref="D62:E62"/>
    <mergeCell ref="G62:I62"/>
    <mergeCell ref="P40:Q40"/>
    <mergeCell ref="P42:Q42"/>
    <mergeCell ref="A44:E44"/>
    <mergeCell ref="G44:H44"/>
    <mergeCell ref="J44:N44"/>
    <mergeCell ref="P44:Q44"/>
    <mergeCell ref="A42:E42"/>
    <mergeCell ref="G42:H42"/>
    <mergeCell ref="J42:N42"/>
    <mergeCell ref="G57:I57"/>
    <mergeCell ref="D59:E59"/>
    <mergeCell ref="G59:I59"/>
    <mergeCell ref="D60:M60"/>
    <mergeCell ref="D54:E54"/>
  </mergeCells>
  <conditionalFormatting sqref="Q55:Q56">
    <cfRule type="expression" dxfId="279" priority="38">
      <formula>Q55&gt;N55</formula>
    </cfRule>
  </conditionalFormatting>
  <conditionalFormatting sqref="O56">
    <cfRule type="expression" dxfId="278" priority="34">
      <formula>O56&gt;C49</formula>
    </cfRule>
  </conditionalFormatting>
  <conditionalFormatting sqref="Q50">
    <cfRule type="expression" dxfId="277" priority="19">
      <formula>Q50&gt;N50</formula>
    </cfRule>
  </conditionalFormatting>
  <conditionalFormatting sqref="K55:L55">
    <cfRule type="expression" dxfId="276" priority="20">
      <formula>K55="No"</formula>
    </cfRule>
  </conditionalFormatting>
  <conditionalFormatting sqref="K50:L50 K52:L54">
    <cfRule type="expression" dxfId="275" priority="18">
      <formula>K50="No"</formula>
    </cfRule>
  </conditionalFormatting>
  <conditionalFormatting sqref="Q63:Q64">
    <cfRule type="expression" dxfId="274" priority="17">
      <formula>Q63&gt;N63</formula>
    </cfRule>
  </conditionalFormatting>
  <conditionalFormatting sqref="O64">
    <cfRule type="expression" dxfId="273" priority="16">
      <formula>O64&gt;C61</formula>
    </cfRule>
  </conditionalFormatting>
  <conditionalFormatting sqref="K63:L63">
    <cfRule type="expression" dxfId="272" priority="15">
      <formula>K63="No"</formula>
    </cfRule>
  </conditionalFormatting>
  <conditionalFormatting sqref="Q51">
    <cfRule type="expression" dxfId="271" priority="12">
      <formula>Q51&gt;N51</formula>
    </cfRule>
  </conditionalFormatting>
  <conditionalFormatting sqref="K51:L51">
    <cfRule type="expression" dxfId="270" priority="11">
      <formula>K51="No"</formula>
    </cfRule>
  </conditionalFormatting>
  <conditionalFormatting sqref="Q52:Q54">
    <cfRule type="expression" dxfId="269" priority="10">
      <formula>Q52&gt;N52</formula>
    </cfRule>
  </conditionalFormatting>
  <conditionalFormatting sqref="Q59:Q60">
    <cfRule type="expression" dxfId="268" priority="9">
      <formula>Q59&gt;N59</formula>
    </cfRule>
  </conditionalFormatting>
  <conditionalFormatting sqref="O60">
    <cfRule type="expression" dxfId="267" priority="8">
      <formula>O60&gt;C57</formula>
    </cfRule>
  </conditionalFormatting>
  <conditionalFormatting sqref="K59:L59">
    <cfRule type="expression" dxfId="266" priority="7">
      <formula>K59="No"</formula>
    </cfRule>
  </conditionalFormatting>
  <conditionalFormatting sqref="Q49">
    <cfRule type="expression" dxfId="265" priority="6">
      <formula>Q49&gt;N49</formula>
    </cfRule>
  </conditionalFormatting>
  <conditionalFormatting sqref="K49:L49">
    <cfRule type="expression" dxfId="264" priority="5">
      <formula>K49="No"</formula>
    </cfRule>
  </conditionalFormatting>
  <conditionalFormatting sqref="Q58">
    <cfRule type="expression" dxfId="263" priority="4">
      <formula>Q58&gt;N58</formula>
    </cfRule>
  </conditionalFormatting>
  <conditionalFormatting sqref="K58:L58">
    <cfRule type="expression" dxfId="262" priority="3">
      <formula>K58="No"</formula>
    </cfRule>
  </conditionalFormatting>
  <conditionalFormatting sqref="Q62">
    <cfRule type="expression" dxfId="261" priority="2">
      <formula>Q62&gt;N62</formula>
    </cfRule>
  </conditionalFormatting>
  <conditionalFormatting sqref="K62:L62">
    <cfRule type="expression" dxfId="260" priority="1">
      <formula>K62="No"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1" manualBreakCount="1">
    <brk id="65"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D79F78-96D1-405B-83E6-1F3BD2449E2F}">
          <x14:formula1>
            <xm:f>Tables!$Q$21:$Q$23</xm:f>
          </x14:formula1>
          <xm:sqref>L62:L63 L49:L55 L58:L59</xm:sqref>
        </x14:dataValidation>
        <x14:dataValidation type="list" allowBlank="1" showInputMessage="1" showErrorMessage="1" xr:uid="{AE059486-A191-4D8E-B158-88DDA2939A3A}">
          <x14:formula1>
            <xm:f>Tables!$O$21:$O$23</xm:f>
          </x14:formula1>
          <xm:sqref>K62:K63 K49:K55 K58:K59</xm:sqref>
        </x14:dataValidation>
        <x14:dataValidation type="list" allowBlank="1" showInputMessage="1" showErrorMessage="1" xr:uid="{AF23559E-D877-4FD9-AC08-85386574FB94}">
          <x14:formula1>
            <xm:f>Tables!$C$3:$C$22</xm:f>
          </x14:formula1>
          <xm:sqref>M62:M63 M49:M55 M58:M59</xm:sqref>
        </x14:dataValidation>
        <x14:dataValidation type="list" allowBlank="1" showInputMessage="1" showErrorMessage="1" xr:uid="{8852B548-0092-4590-A9E0-6C8E3B943EB4}">
          <x14:formula1>
            <xm:f>Tables!$Q$2:$Q$7</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pageSetUpPr fitToPage="1"/>
  </sheetPr>
  <dimension ref="A1:Q86"/>
  <sheetViews>
    <sheetView zoomScaleNormal="100" workbookViewId="0">
      <selection activeCell="G51" sqref="G51:I51"/>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thickBot="1" x14ac:dyDescent="0.3">
      <c r="A5" s="471" t="s">
        <v>199</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8"/>
      <c r="Q7" s="157"/>
    </row>
    <row r="8" spans="1:17" ht="19.95" customHeight="1" x14ac:dyDescent="0.3">
      <c r="A8" s="133"/>
      <c r="B8" s="17" t="s">
        <v>163</v>
      </c>
      <c r="C8" s="474"/>
      <c r="D8" s="474"/>
      <c r="E8" s="474"/>
      <c r="F8" s="474"/>
      <c r="G8" s="19"/>
      <c r="H8" s="19"/>
      <c r="I8" s="19"/>
      <c r="J8" s="19"/>
      <c r="K8" s="18"/>
      <c r="L8" s="18"/>
      <c r="M8" s="18"/>
      <c r="N8" s="17" t="s">
        <v>72</v>
      </c>
      <c r="O8" s="469" t="s">
        <v>155</v>
      </c>
      <c r="P8" s="470"/>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Cheerleading</v>
      </c>
      <c r="B12" s="201"/>
      <c r="C12" s="201"/>
      <c r="D12" s="187">
        <f>+P53</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+A54</f>
        <v>Drill Team</v>
      </c>
      <c r="B13" s="201"/>
      <c r="C13" s="201"/>
      <c r="D13" s="190">
        <f>+P59</f>
        <v>0</v>
      </c>
      <c r="E13" s="191">
        <f>ROUND(+D13*0.08,0)</f>
        <v>0</v>
      </c>
      <c r="F13" s="192">
        <f t="shared" ref="F13:F26"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ref="F18:F24" si="2">SUM(D18:E18)</f>
        <v>0</v>
      </c>
      <c r="G18" s="90"/>
      <c r="H18" s="19"/>
      <c r="I18" s="89"/>
      <c r="J18" s="89"/>
      <c r="K18" s="19"/>
      <c r="L18" s="108"/>
      <c r="M18" s="108"/>
      <c r="N18" s="108"/>
      <c r="O18" s="108"/>
      <c r="P18" s="109"/>
      <c r="Q18" s="113"/>
    </row>
    <row r="19" spans="1:17" ht="15" customHeight="1" x14ac:dyDescent="0.25">
      <c r="A19" s="200"/>
      <c r="B19" s="201"/>
      <c r="C19" s="201"/>
      <c r="D19" s="194">
        <v>0</v>
      </c>
      <c r="E19" s="191">
        <f t="shared" si="1"/>
        <v>0</v>
      </c>
      <c r="F19" s="192">
        <f t="shared" si="2"/>
        <v>0</v>
      </c>
      <c r="G19" s="90"/>
      <c r="H19" s="95" t="s">
        <v>143</v>
      </c>
      <c r="I19" s="114"/>
      <c r="J19" s="114"/>
      <c r="K19" s="11"/>
      <c r="L19" s="116"/>
      <c r="M19" s="116"/>
      <c r="N19" s="116"/>
      <c r="O19" s="116"/>
      <c r="P19" s="117"/>
      <c r="Q19" s="94"/>
    </row>
    <row r="20" spans="1:17" ht="15" customHeight="1" x14ac:dyDescent="0.25">
      <c r="A20" s="200"/>
      <c r="B20" s="201"/>
      <c r="C20" s="201"/>
      <c r="D20" s="194">
        <v>0</v>
      </c>
      <c r="E20" s="191">
        <f t="shared" si="1"/>
        <v>0</v>
      </c>
      <c r="F20" s="192">
        <f t="shared" si="2"/>
        <v>0</v>
      </c>
      <c r="G20" s="90"/>
      <c r="H20" s="118" t="s">
        <v>202</v>
      </c>
      <c r="I20" s="89"/>
      <c r="J20" s="89"/>
      <c r="K20" s="19"/>
      <c r="L20" s="119"/>
      <c r="M20" s="119"/>
      <c r="N20" s="119"/>
      <c r="O20" s="119"/>
      <c r="P20" s="109"/>
      <c r="Q20" s="113"/>
    </row>
    <row r="21" spans="1:17" ht="15" customHeight="1" x14ac:dyDescent="0.25">
      <c r="A21" s="200"/>
      <c r="B21" s="201"/>
      <c r="C21" s="201"/>
      <c r="D21" s="194">
        <v>0</v>
      </c>
      <c r="E21" s="191">
        <f t="shared" si="1"/>
        <v>0</v>
      </c>
      <c r="F21" s="192">
        <f t="shared" si="2"/>
        <v>0</v>
      </c>
      <c r="G21" s="90"/>
      <c r="H21" s="118" t="s">
        <v>169</v>
      </c>
      <c r="I21" s="89"/>
      <c r="J21" s="89"/>
      <c r="K21" s="19"/>
      <c r="L21" s="119"/>
      <c r="M21" s="119"/>
      <c r="N21" s="119"/>
      <c r="O21" s="119"/>
      <c r="P21" s="109"/>
      <c r="Q21" s="113"/>
    </row>
    <row r="22" spans="1:17" ht="15" customHeight="1" thickBot="1" x14ac:dyDescent="0.3">
      <c r="A22" s="200"/>
      <c r="B22" s="201"/>
      <c r="C22" s="201"/>
      <c r="D22" s="194">
        <v>0</v>
      </c>
      <c r="E22" s="191">
        <f t="shared" si="1"/>
        <v>0</v>
      </c>
      <c r="F22" s="192">
        <f t="shared" si="2"/>
        <v>0</v>
      </c>
      <c r="G22" s="90"/>
      <c r="H22" s="111"/>
      <c r="I22" s="19"/>
      <c r="J22" s="19"/>
      <c r="K22" s="19"/>
      <c r="L22" s="119"/>
      <c r="M22" s="119"/>
      <c r="N22" s="119"/>
      <c r="O22" s="119"/>
      <c r="P22" s="124"/>
      <c r="Q22" s="125"/>
    </row>
    <row r="23" spans="1:17" ht="15" customHeight="1" x14ac:dyDescent="0.25">
      <c r="A23" s="200"/>
      <c r="B23" s="201"/>
      <c r="C23" s="201"/>
      <c r="D23" s="205">
        <v>0</v>
      </c>
      <c r="E23" s="191">
        <f t="shared" si="1"/>
        <v>0</v>
      </c>
      <c r="F23" s="192">
        <f t="shared" si="2"/>
        <v>0</v>
      </c>
      <c r="G23" s="90"/>
      <c r="H23" s="23" t="s">
        <v>69</v>
      </c>
      <c r="I23" s="25"/>
      <c r="J23" s="28"/>
      <c r="K23" s="28"/>
      <c r="L23" s="28"/>
      <c r="M23" s="116"/>
      <c r="N23" s="116"/>
      <c r="O23" s="116"/>
      <c r="P23" s="117"/>
      <c r="Q23" s="94"/>
    </row>
    <row r="24" spans="1:17" ht="15" customHeight="1" x14ac:dyDescent="0.25">
      <c r="A24" s="200"/>
      <c r="B24" s="201"/>
      <c r="C24" s="201"/>
      <c r="D24" s="205">
        <v>0</v>
      </c>
      <c r="E24" s="191">
        <f t="shared" si="1"/>
        <v>0</v>
      </c>
      <c r="F24" s="192">
        <f t="shared" si="2"/>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1"/>
        <v>0</v>
      </c>
      <c r="F25" s="281">
        <v>0</v>
      </c>
      <c r="G25" s="90"/>
      <c r="H25" s="26" t="s">
        <v>70</v>
      </c>
      <c r="I25" s="27" t="s">
        <v>105</v>
      </c>
      <c r="J25" s="19"/>
      <c r="K25" s="19"/>
      <c r="L25" s="19"/>
      <c r="M25" s="119"/>
      <c r="N25" s="119"/>
      <c r="O25" s="119"/>
      <c r="P25" s="109"/>
      <c r="Q25" s="113"/>
    </row>
    <row r="26" spans="1:17" ht="19.95" customHeight="1" x14ac:dyDescent="0.3">
      <c r="A26" s="202"/>
      <c r="B26" s="203"/>
      <c r="C26" s="204" t="s">
        <v>216</v>
      </c>
      <c r="D26" s="282">
        <f>SUM(D12:D25)</f>
        <v>0</v>
      </c>
      <c r="E26" s="283">
        <f t="shared" ref="E26" si="3">+D26*0.08</f>
        <v>0</v>
      </c>
      <c r="F26" s="284">
        <f t="shared" si="0"/>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478" t="s">
        <v>247</v>
      </c>
      <c r="B47" s="479"/>
      <c r="C47" s="479"/>
      <c r="D47" s="479"/>
      <c r="E47" s="479"/>
      <c r="F47" s="479"/>
      <c r="G47" s="479"/>
      <c r="H47" s="479"/>
      <c r="I47" s="479"/>
      <c r="J47" s="479"/>
      <c r="K47" s="479"/>
      <c r="L47" s="479"/>
      <c r="M47" s="479"/>
      <c r="N47" s="479"/>
      <c r="O47" s="479"/>
      <c r="P47" s="479"/>
      <c r="Q47" s="480"/>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513" t="s">
        <v>24</v>
      </c>
      <c r="B49" s="514"/>
      <c r="C49" s="475">
        <f>+'HS - Positions and Funding'!B20</f>
        <v>8097</v>
      </c>
      <c r="D49" s="519" t="s">
        <v>58</v>
      </c>
      <c r="E49" s="520"/>
      <c r="F49" s="168" t="s">
        <v>4</v>
      </c>
      <c r="G49" s="451"/>
      <c r="H49" s="451"/>
      <c r="I49" s="451"/>
      <c r="J49" s="169"/>
      <c r="K49" s="170"/>
      <c r="L49" s="170"/>
      <c r="M49" s="169"/>
      <c r="N49" s="171">
        <f>IF(M49&gt;0,HLOOKUP(F49,Tables!$D$3:$M$22,M49+1,0),0)</f>
        <v>0</v>
      </c>
      <c r="O49" s="172">
        <v>0</v>
      </c>
      <c r="P49" s="172">
        <v>0</v>
      </c>
      <c r="Q49" s="173">
        <f>SUM(O49:P49)</f>
        <v>0</v>
      </c>
    </row>
    <row r="50" spans="1:17" ht="19.95" customHeight="1" x14ac:dyDescent="0.25">
      <c r="A50" s="515"/>
      <c r="B50" s="516"/>
      <c r="C50" s="476"/>
      <c r="D50" s="501" t="s">
        <v>59</v>
      </c>
      <c r="E50" s="502"/>
      <c r="F50" s="174" t="s">
        <v>5</v>
      </c>
      <c r="G50" s="450"/>
      <c r="H50" s="450"/>
      <c r="I50" s="450"/>
      <c r="J50" s="175"/>
      <c r="K50" s="175"/>
      <c r="L50" s="175"/>
      <c r="M50" s="175"/>
      <c r="N50" s="176">
        <f>IF(M50&gt;0,HLOOKUP(F50,Tables!$D$3:$M$22,M50+1,0),0)</f>
        <v>0</v>
      </c>
      <c r="O50" s="177">
        <v>0</v>
      </c>
      <c r="P50" s="177">
        <v>0</v>
      </c>
      <c r="Q50" s="178">
        <f t="shared" ref="Q50:Q53" si="4">SUM(O50:P50)</f>
        <v>0</v>
      </c>
    </row>
    <row r="51" spans="1:17" ht="19.95" customHeight="1" x14ac:dyDescent="0.25">
      <c r="A51" s="515"/>
      <c r="B51" s="516"/>
      <c r="C51" s="476"/>
      <c r="D51" s="501" t="s">
        <v>59</v>
      </c>
      <c r="E51" s="502"/>
      <c r="F51" s="174" t="s">
        <v>5</v>
      </c>
      <c r="G51" s="450"/>
      <c r="H51" s="450"/>
      <c r="I51" s="450"/>
      <c r="J51" s="175"/>
      <c r="K51" s="175"/>
      <c r="L51" s="175"/>
      <c r="M51" s="175"/>
      <c r="N51" s="176">
        <f>IF(M51&gt;0,HLOOKUP(F51,Tables!$D$3:$M$22,M51+1,0),0)</f>
        <v>0</v>
      </c>
      <c r="O51" s="177">
        <v>0</v>
      </c>
      <c r="P51" s="177">
        <v>0</v>
      </c>
      <c r="Q51" s="178">
        <f t="shared" si="4"/>
        <v>0</v>
      </c>
    </row>
    <row r="52" spans="1:17" ht="19.95" customHeight="1" x14ac:dyDescent="0.25">
      <c r="A52" s="515"/>
      <c r="B52" s="516"/>
      <c r="C52" s="476"/>
      <c r="D52" s="501" t="s">
        <v>59</v>
      </c>
      <c r="E52" s="502"/>
      <c r="F52" s="174" t="s">
        <v>5</v>
      </c>
      <c r="G52" s="450"/>
      <c r="H52" s="450"/>
      <c r="I52" s="450"/>
      <c r="J52" s="175"/>
      <c r="K52" s="179"/>
      <c r="L52" s="179"/>
      <c r="M52" s="175"/>
      <c r="N52" s="196">
        <f>IF(M52&gt;0,HLOOKUP(F52,Tables!$D$3:$M$22,M52+1,0),0)</f>
        <v>0</v>
      </c>
      <c r="O52" s="177">
        <v>0</v>
      </c>
      <c r="P52" s="177">
        <v>0</v>
      </c>
      <c r="Q52" s="178">
        <f t="shared" si="4"/>
        <v>0</v>
      </c>
    </row>
    <row r="53" spans="1:17" s="143" customFormat="1" ht="19.95" customHeight="1" thickBot="1" x14ac:dyDescent="0.35">
      <c r="A53" s="517"/>
      <c r="B53" s="518"/>
      <c r="C53" s="477"/>
      <c r="D53" s="447" t="str">
        <f>CONCATENATE(A49," Totals")</f>
        <v>Cheerleading Totals</v>
      </c>
      <c r="E53" s="448"/>
      <c r="F53" s="448"/>
      <c r="G53" s="448"/>
      <c r="H53" s="448"/>
      <c r="I53" s="448"/>
      <c r="J53" s="448"/>
      <c r="K53" s="448"/>
      <c r="L53" s="448"/>
      <c r="M53" s="449"/>
      <c r="N53" s="180">
        <f>SUM(N49:N52)</f>
        <v>0</v>
      </c>
      <c r="O53" s="180">
        <f>SUM(O49:O52)</f>
        <v>0</v>
      </c>
      <c r="P53" s="180">
        <f>SUM(P49:P52)</f>
        <v>0</v>
      </c>
      <c r="Q53" s="181">
        <f t="shared" si="4"/>
        <v>0</v>
      </c>
    </row>
    <row r="54" spans="1:17" ht="19.95" customHeight="1" x14ac:dyDescent="0.25">
      <c r="A54" s="513" t="s">
        <v>21</v>
      </c>
      <c r="B54" s="514"/>
      <c r="C54" s="475">
        <f>+'HS - Positions and Funding'!B36</f>
        <v>8097</v>
      </c>
      <c r="D54" s="519" t="s">
        <v>58</v>
      </c>
      <c r="E54" s="520"/>
      <c r="F54" s="168" t="s">
        <v>4</v>
      </c>
      <c r="G54" s="451"/>
      <c r="H54" s="451"/>
      <c r="I54" s="451"/>
      <c r="J54" s="169"/>
      <c r="K54" s="170"/>
      <c r="L54" s="170"/>
      <c r="M54" s="169"/>
      <c r="N54" s="171">
        <f>IF(M54&gt;0,HLOOKUP(F54,Tables!$D$3:$M$22,M54+1,0),0)</f>
        <v>0</v>
      </c>
      <c r="O54" s="172">
        <v>0</v>
      </c>
      <c r="P54" s="172">
        <v>0</v>
      </c>
      <c r="Q54" s="173">
        <f>SUM(O54:P54)</f>
        <v>0</v>
      </c>
    </row>
    <row r="55" spans="1:17" ht="19.95" customHeight="1" x14ac:dyDescent="0.25">
      <c r="A55" s="515"/>
      <c r="B55" s="516"/>
      <c r="C55" s="476"/>
      <c r="D55" s="501" t="s">
        <v>59</v>
      </c>
      <c r="E55" s="502"/>
      <c r="F55" s="174" t="s">
        <v>5</v>
      </c>
      <c r="G55" s="450"/>
      <c r="H55" s="450"/>
      <c r="I55" s="450"/>
      <c r="J55" s="175"/>
      <c r="K55" s="175"/>
      <c r="L55" s="175"/>
      <c r="M55" s="175"/>
      <c r="N55" s="176">
        <f>IF(M55&gt;0,HLOOKUP(F55,Tables!$D$3:$M$22,M55+1,0),0)</f>
        <v>0</v>
      </c>
      <c r="O55" s="177">
        <v>0</v>
      </c>
      <c r="P55" s="177">
        <v>0</v>
      </c>
      <c r="Q55" s="178">
        <f t="shared" ref="Q55:Q59" si="5">SUM(O55:P55)</f>
        <v>0</v>
      </c>
    </row>
    <row r="56" spans="1:17" ht="19.95" customHeight="1" x14ac:dyDescent="0.25">
      <c r="A56" s="515"/>
      <c r="B56" s="516"/>
      <c r="C56" s="476"/>
      <c r="D56" s="501" t="s">
        <v>59</v>
      </c>
      <c r="E56" s="502"/>
      <c r="F56" s="174" t="s">
        <v>5</v>
      </c>
      <c r="G56" s="450"/>
      <c r="H56" s="450"/>
      <c r="I56" s="450"/>
      <c r="J56" s="175"/>
      <c r="K56" s="175"/>
      <c r="L56" s="175"/>
      <c r="M56" s="175"/>
      <c r="N56" s="176">
        <f>IF(M56&gt;0,HLOOKUP(F56,Tables!$D$3:$M$22,M56+1,0),0)</f>
        <v>0</v>
      </c>
      <c r="O56" s="177">
        <v>0</v>
      </c>
      <c r="P56" s="177">
        <v>0</v>
      </c>
      <c r="Q56" s="178">
        <f t="shared" ref="Q56" si="6">SUM(O56:P56)</f>
        <v>0</v>
      </c>
    </row>
    <row r="57" spans="1:17" ht="19.95" customHeight="1" x14ac:dyDescent="0.25">
      <c r="A57" s="515"/>
      <c r="B57" s="516"/>
      <c r="C57" s="476"/>
      <c r="D57" s="501" t="s">
        <v>59</v>
      </c>
      <c r="E57" s="502"/>
      <c r="F57" s="174" t="s">
        <v>5</v>
      </c>
      <c r="G57" s="450"/>
      <c r="H57" s="450"/>
      <c r="I57" s="450"/>
      <c r="J57" s="175"/>
      <c r="K57" s="175"/>
      <c r="L57" s="175"/>
      <c r="M57" s="175"/>
      <c r="N57" s="176">
        <f>IF(M57&gt;0,HLOOKUP(F57,Tables!$D$3:$M$22,M57+1,0),0)</f>
        <v>0</v>
      </c>
      <c r="O57" s="177">
        <v>0</v>
      </c>
      <c r="P57" s="177">
        <v>0</v>
      </c>
      <c r="Q57" s="178">
        <f t="shared" ref="Q57" si="7">SUM(O57:P57)</f>
        <v>0</v>
      </c>
    </row>
    <row r="58" spans="1:17" ht="19.95" customHeight="1" x14ac:dyDescent="0.25">
      <c r="A58" s="515"/>
      <c r="B58" s="516"/>
      <c r="C58" s="476"/>
      <c r="D58" s="501" t="s">
        <v>59</v>
      </c>
      <c r="E58" s="502"/>
      <c r="F58" s="174" t="s">
        <v>5</v>
      </c>
      <c r="G58" s="450"/>
      <c r="H58" s="450"/>
      <c r="I58" s="450"/>
      <c r="J58" s="175"/>
      <c r="K58" s="179"/>
      <c r="L58" s="179"/>
      <c r="M58" s="175"/>
      <c r="N58" s="176">
        <f>IF(M58&gt;0,HLOOKUP(F58,Tables!$D$3:$M$22,M58+1,0),0)</f>
        <v>0</v>
      </c>
      <c r="O58" s="177">
        <v>0</v>
      </c>
      <c r="P58" s="177">
        <v>0</v>
      </c>
      <c r="Q58" s="178">
        <f t="shared" ref="Q58" si="8">SUM(O58:P58)</f>
        <v>0</v>
      </c>
    </row>
    <row r="59" spans="1:17" s="143" customFormat="1" ht="19.95" customHeight="1" thickBot="1" x14ac:dyDescent="0.35">
      <c r="A59" s="517"/>
      <c r="B59" s="518"/>
      <c r="C59" s="477"/>
      <c r="D59" s="447" t="str">
        <f>CONCATENATE(A54," Totals")</f>
        <v>Drill Team Totals</v>
      </c>
      <c r="E59" s="448"/>
      <c r="F59" s="448"/>
      <c r="G59" s="448"/>
      <c r="H59" s="448"/>
      <c r="I59" s="448"/>
      <c r="J59" s="448"/>
      <c r="K59" s="448"/>
      <c r="L59" s="448"/>
      <c r="M59" s="449"/>
      <c r="N59" s="180">
        <f>SUM(N54:N58)</f>
        <v>0</v>
      </c>
      <c r="O59" s="180">
        <f>SUM(O54:O58)</f>
        <v>0</v>
      </c>
      <c r="P59" s="180">
        <f>SUM(P54:P58)</f>
        <v>0</v>
      </c>
      <c r="Q59" s="181">
        <f t="shared" si="5"/>
        <v>0</v>
      </c>
    </row>
    <row r="60" spans="1:17" s="142" customFormat="1" ht="19.95" customHeight="1" thickBot="1" x14ac:dyDescent="0.35">
      <c r="A60" s="182"/>
      <c r="B60" s="183"/>
      <c r="C60" s="183"/>
      <c r="D60" s="183"/>
      <c r="E60" s="183"/>
      <c r="F60" s="197"/>
      <c r="G60" s="183"/>
      <c r="H60" s="183"/>
      <c r="I60" s="183"/>
      <c r="J60" s="183"/>
      <c r="K60" s="183"/>
      <c r="L60" s="183"/>
      <c r="M60" s="184" t="s">
        <v>134</v>
      </c>
      <c r="N60" s="185">
        <f>+N53+N59</f>
        <v>0</v>
      </c>
      <c r="O60" s="185">
        <f>+O53+O59</f>
        <v>0</v>
      </c>
      <c r="P60" s="185">
        <f>+P53+P59</f>
        <v>0</v>
      </c>
      <c r="Q60" s="186">
        <f>+Q53+Q59</f>
        <v>0</v>
      </c>
    </row>
    <row r="61" spans="1:17" ht="12.75" customHeight="1" x14ac:dyDescent="0.25">
      <c r="A61" s="152" t="s">
        <v>178</v>
      </c>
      <c r="B61" s="11"/>
      <c r="C61" s="11"/>
      <c r="D61" s="11"/>
      <c r="E61" s="11"/>
      <c r="F61" s="11"/>
      <c r="G61" s="11"/>
      <c r="H61" s="11"/>
      <c r="I61" s="11"/>
      <c r="J61" s="11"/>
      <c r="K61" s="11"/>
      <c r="L61" s="11"/>
      <c r="M61" s="11"/>
      <c r="N61" s="11"/>
      <c r="O61" s="11"/>
      <c r="P61" s="11"/>
      <c r="Q61" s="132"/>
    </row>
    <row r="62" spans="1:17" ht="12.75" customHeight="1" x14ac:dyDescent="0.25">
      <c r="A62" s="153" t="s">
        <v>170</v>
      </c>
      <c r="B62" s="19"/>
      <c r="C62" s="19"/>
      <c r="D62" s="19"/>
      <c r="E62" s="19"/>
      <c r="F62" s="19"/>
      <c r="G62" s="19"/>
      <c r="H62" s="19"/>
      <c r="I62" s="19"/>
      <c r="J62" s="19"/>
      <c r="K62" s="19"/>
      <c r="L62" s="19"/>
      <c r="M62" s="19"/>
      <c r="N62" s="19"/>
      <c r="O62" s="19"/>
      <c r="P62" s="19"/>
      <c r="Q62" s="29"/>
    </row>
    <row r="63" spans="1:17" ht="12.75" customHeight="1" x14ac:dyDescent="0.25">
      <c r="A63" s="154" t="s">
        <v>179</v>
      </c>
      <c r="B63" s="19"/>
      <c r="C63" s="19"/>
      <c r="D63" s="19"/>
      <c r="E63" s="19"/>
      <c r="F63" s="19"/>
      <c r="G63" s="19"/>
      <c r="H63" s="19"/>
      <c r="I63" s="19"/>
      <c r="J63" s="19"/>
      <c r="K63" s="19"/>
      <c r="L63" s="19"/>
      <c r="M63" s="19"/>
      <c r="N63" s="19"/>
      <c r="O63" s="19"/>
      <c r="P63" s="19"/>
      <c r="Q63" s="29"/>
    </row>
    <row r="64" spans="1:17" ht="12.75" customHeight="1" x14ac:dyDescent="0.25">
      <c r="A64" s="154" t="s">
        <v>207</v>
      </c>
      <c r="B64" s="19"/>
      <c r="C64" s="19"/>
      <c r="D64" s="19"/>
      <c r="E64" s="19"/>
      <c r="F64" s="19"/>
      <c r="G64" s="19"/>
      <c r="H64" s="19"/>
      <c r="I64" s="19"/>
      <c r="J64" s="19"/>
      <c r="K64" s="19"/>
      <c r="L64" s="19"/>
      <c r="M64" s="19"/>
      <c r="N64" s="19"/>
      <c r="O64" s="19"/>
      <c r="P64" s="19"/>
      <c r="Q64" s="29"/>
    </row>
    <row r="65" spans="1:17" ht="12.75" customHeight="1" x14ac:dyDescent="0.25">
      <c r="A65" s="154" t="s">
        <v>208</v>
      </c>
      <c r="B65" s="19"/>
      <c r="C65" s="19"/>
      <c r="D65" s="19"/>
      <c r="E65" s="19"/>
      <c r="F65" s="19"/>
      <c r="G65" s="19"/>
      <c r="H65" s="19"/>
      <c r="I65" s="19"/>
      <c r="J65" s="19"/>
      <c r="K65" s="19"/>
      <c r="L65" s="19"/>
      <c r="M65" s="19"/>
      <c r="N65" s="19"/>
      <c r="O65" s="19"/>
      <c r="P65" s="19"/>
      <c r="Q65" s="29"/>
    </row>
    <row r="66" spans="1:17" x14ac:dyDescent="0.25">
      <c r="A66" s="153" t="s">
        <v>171</v>
      </c>
      <c r="B66" s="19"/>
      <c r="C66" s="19"/>
      <c r="D66" s="19"/>
      <c r="E66" s="19"/>
      <c r="F66" s="19"/>
      <c r="G66" s="19"/>
      <c r="H66" s="19"/>
      <c r="I66" s="19"/>
      <c r="J66" s="19"/>
      <c r="K66" s="19"/>
      <c r="L66" s="19"/>
      <c r="M66" s="19"/>
      <c r="N66" s="19"/>
      <c r="O66" s="19"/>
      <c r="P66" s="19"/>
      <c r="Q66" s="29"/>
    </row>
    <row r="67" spans="1:17" x14ac:dyDescent="0.25">
      <c r="A67" s="154" t="s">
        <v>182</v>
      </c>
      <c r="B67" s="19"/>
      <c r="C67" s="19"/>
      <c r="D67" s="19"/>
      <c r="E67" s="19"/>
      <c r="F67" s="19"/>
      <c r="G67" s="19"/>
      <c r="H67" s="19"/>
      <c r="I67" s="19"/>
      <c r="J67" s="19"/>
      <c r="K67" s="19"/>
      <c r="L67" s="19"/>
      <c r="M67" s="19"/>
      <c r="N67" s="19"/>
      <c r="O67" s="19"/>
      <c r="P67" s="19"/>
      <c r="Q67" s="29"/>
    </row>
    <row r="68" spans="1:17" x14ac:dyDescent="0.25">
      <c r="A68" s="155" t="s">
        <v>177</v>
      </c>
      <c r="B68" s="19"/>
      <c r="C68" s="19"/>
      <c r="D68" s="19"/>
      <c r="E68" s="19"/>
      <c r="F68" s="19"/>
      <c r="G68" s="19"/>
      <c r="H68" s="19"/>
      <c r="I68" s="19"/>
      <c r="J68" s="19"/>
      <c r="K68" s="19"/>
      <c r="L68" s="19"/>
      <c r="M68" s="19"/>
      <c r="N68" s="19"/>
      <c r="O68" s="19"/>
      <c r="P68" s="19"/>
      <c r="Q68" s="29"/>
    </row>
    <row r="69" spans="1:17" x14ac:dyDescent="0.25">
      <c r="A69" s="155" t="s">
        <v>209</v>
      </c>
      <c r="B69" s="19"/>
      <c r="C69" s="19"/>
      <c r="D69" s="19"/>
      <c r="E69" s="19"/>
      <c r="F69" s="19"/>
      <c r="G69" s="19"/>
      <c r="H69" s="19"/>
      <c r="I69" s="19"/>
      <c r="J69" s="19"/>
      <c r="K69" s="19"/>
      <c r="L69" s="19"/>
      <c r="M69" s="19"/>
      <c r="N69" s="19"/>
      <c r="O69" s="19"/>
      <c r="P69" s="19"/>
      <c r="Q69" s="29"/>
    </row>
    <row r="70" spans="1:17" x14ac:dyDescent="0.25">
      <c r="A70" s="156" t="s">
        <v>172</v>
      </c>
      <c r="B70" s="19"/>
      <c r="C70" s="19"/>
      <c r="D70" s="19"/>
      <c r="E70" s="19"/>
      <c r="F70" s="19"/>
      <c r="G70" s="19"/>
      <c r="H70" s="19"/>
      <c r="I70" s="19"/>
      <c r="J70" s="19"/>
      <c r="K70" s="19"/>
      <c r="L70" s="19"/>
      <c r="M70" s="19"/>
      <c r="N70" s="19"/>
      <c r="O70" s="19"/>
      <c r="P70" s="19"/>
      <c r="Q70" s="29"/>
    </row>
    <row r="71" spans="1:17" x14ac:dyDescent="0.25">
      <c r="A71" s="155" t="s">
        <v>211</v>
      </c>
      <c r="B71" s="19"/>
      <c r="C71" s="19"/>
      <c r="D71" s="19"/>
      <c r="E71" s="19"/>
      <c r="F71" s="19"/>
      <c r="G71" s="19"/>
      <c r="H71" s="19"/>
      <c r="I71" s="19"/>
      <c r="J71" s="19"/>
      <c r="K71" s="19"/>
      <c r="L71" s="19"/>
      <c r="M71" s="19"/>
      <c r="N71" s="19"/>
      <c r="O71" s="19"/>
      <c r="P71" s="19"/>
      <c r="Q71" s="29"/>
    </row>
    <row r="72" spans="1:17" x14ac:dyDescent="0.25">
      <c r="A72" s="155" t="s">
        <v>210</v>
      </c>
      <c r="B72" s="19"/>
      <c r="C72" s="19"/>
      <c r="D72" s="19"/>
      <c r="E72" s="19"/>
      <c r="F72" s="19"/>
      <c r="G72" s="19"/>
      <c r="H72" s="19"/>
      <c r="I72" s="19"/>
      <c r="J72" s="19"/>
      <c r="K72" s="19"/>
      <c r="L72" s="19"/>
      <c r="M72" s="19"/>
      <c r="N72" s="19"/>
      <c r="O72" s="19"/>
      <c r="P72" s="19"/>
      <c r="Q72" s="29"/>
    </row>
    <row r="73" spans="1:17" x14ac:dyDescent="0.25">
      <c r="A73" s="156" t="s">
        <v>173</v>
      </c>
      <c r="B73" s="19"/>
      <c r="C73" s="19"/>
      <c r="D73" s="19"/>
      <c r="E73" s="19"/>
      <c r="F73" s="19"/>
      <c r="G73" s="19"/>
      <c r="H73" s="19"/>
      <c r="I73" s="19"/>
      <c r="J73" s="19"/>
      <c r="K73" s="19"/>
      <c r="L73" s="19"/>
      <c r="M73" s="19"/>
      <c r="N73" s="19"/>
      <c r="O73" s="19"/>
      <c r="P73" s="19"/>
      <c r="Q73" s="29"/>
    </row>
    <row r="74" spans="1:17" x14ac:dyDescent="0.25">
      <c r="A74" s="155" t="s">
        <v>181</v>
      </c>
      <c r="B74" s="19"/>
      <c r="C74" s="19"/>
      <c r="D74" s="19"/>
      <c r="E74" s="19"/>
      <c r="F74" s="19"/>
      <c r="G74" s="19"/>
      <c r="H74" s="19"/>
      <c r="I74" s="19"/>
      <c r="J74" s="19"/>
      <c r="K74" s="19"/>
      <c r="L74" s="19"/>
      <c r="M74" s="19"/>
      <c r="N74" s="19"/>
      <c r="O74" s="19"/>
      <c r="P74" s="19"/>
      <c r="Q74" s="29"/>
    </row>
    <row r="75" spans="1:17" x14ac:dyDescent="0.25">
      <c r="A75" s="155" t="s">
        <v>176</v>
      </c>
      <c r="B75" s="19"/>
      <c r="C75" s="19"/>
      <c r="D75" s="19"/>
      <c r="E75" s="19"/>
      <c r="F75" s="19"/>
      <c r="G75" s="19"/>
      <c r="H75" s="19"/>
      <c r="I75" s="19"/>
      <c r="J75" s="19"/>
      <c r="K75" s="19"/>
      <c r="L75" s="19"/>
      <c r="M75" s="19"/>
      <c r="N75" s="19"/>
      <c r="O75" s="19"/>
      <c r="P75" s="19"/>
      <c r="Q75" s="29"/>
    </row>
    <row r="76" spans="1:17" x14ac:dyDescent="0.25">
      <c r="A76" s="155" t="s">
        <v>212</v>
      </c>
      <c r="B76" s="19"/>
      <c r="C76" s="19"/>
      <c r="D76" s="19"/>
      <c r="E76" s="19"/>
      <c r="F76" s="19"/>
      <c r="G76" s="19"/>
      <c r="H76" s="19"/>
      <c r="I76" s="19"/>
      <c r="J76" s="19"/>
      <c r="K76" s="19"/>
      <c r="L76" s="19"/>
      <c r="M76" s="19"/>
      <c r="N76" s="19"/>
      <c r="O76" s="19"/>
      <c r="P76" s="19"/>
      <c r="Q76" s="29"/>
    </row>
    <row r="77" spans="1:17" x14ac:dyDescent="0.25">
      <c r="A77" s="156" t="s">
        <v>174</v>
      </c>
      <c r="B77" s="19"/>
      <c r="C77" s="19"/>
      <c r="D77" s="19"/>
      <c r="E77" s="19"/>
      <c r="F77" s="19"/>
      <c r="G77" s="19"/>
      <c r="H77" s="19"/>
      <c r="I77" s="19"/>
      <c r="J77" s="19"/>
      <c r="K77" s="19"/>
      <c r="L77" s="19"/>
      <c r="M77" s="19"/>
      <c r="N77" s="19"/>
      <c r="O77" s="19"/>
      <c r="P77" s="19"/>
      <c r="Q77" s="29"/>
    </row>
    <row r="78" spans="1:17" x14ac:dyDescent="0.25">
      <c r="A78" s="155" t="s">
        <v>213</v>
      </c>
      <c r="B78" s="19"/>
      <c r="C78" s="19"/>
      <c r="D78" s="19"/>
      <c r="E78" s="19"/>
      <c r="F78" s="19"/>
      <c r="G78" s="19"/>
      <c r="H78" s="19"/>
      <c r="I78" s="19"/>
      <c r="J78" s="19"/>
      <c r="K78" s="19"/>
      <c r="L78" s="19"/>
      <c r="M78" s="19"/>
      <c r="N78" s="19"/>
      <c r="O78" s="19"/>
      <c r="P78" s="19"/>
      <c r="Q78" s="29"/>
    </row>
    <row r="79" spans="1:17" x14ac:dyDescent="0.25">
      <c r="A79" s="155" t="s">
        <v>214</v>
      </c>
      <c r="B79" s="19"/>
      <c r="C79" s="19"/>
      <c r="D79" s="19"/>
      <c r="E79" s="19"/>
      <c r="F79" s="19"/>
      <c r="G79" s="19"/>
      <c r="H79" s="19"/>
      <c r="I79" s="19"/>
      <c r="J79" s="19"/>
      <c r="K79" s="19"/>
      <c r="L79" s="19"/>
      <c r="M79" s="19"/>
      <c r="N79" s="19"/>
      <c r="O79" s="19"/>
      <c r="P79" s="19"/>
      <c r="Q79" s="29"/>
    </row>
    <row r="80" spans="1:17" x14ac:dyDescent="0.25">
      <c r="A80" s="156" t="s">
        <v>175</v>
      </c>
      <c r="B80" s="19"/>
      <c r="C80" s="19"/>
      <c r="D80" s="19"/>
      <c r="E80" s="19"/>
      <c r="F80" s="19"/>
      <c r="G80" s="19"/>
      <c r="H80" s="19"/>
      <c r="I80" s="19"/>
      <c r="J80" s="19"/>
      <c r="K80" s="19"/>
      <c r="L80" s="19"/>
      <c r="M80" s="19"/>
      <c r="N80" s="19"/>
      <c r="O80" s="19"/>
      <c r="P80" s="19"/>
      <c r="Q80" s="29"/>
    </row>
    <row r="81" spans="1:17" x14ac:dyDescent="0.25">
      <c r="A81" s="155" t="s">
        <v>213</v>
      </c>
      <c r="B81" s="19"/>
      <c r="C81" s="19"/>
      <c r="D81" s="19"/>
      <c r="E81" s="19"/>
      <c r="F81" s="19"/>
      <c r="G81" s="19"/>
      <c r="H81" s="19"/>
      <c r="I81" s="19"/>
      <c r="J81" s="19"/>
      <c r="K81" s="19"/>
      <c r="L81" s="19"/>
      <c r="M81" s="19"/>
      <c r="N81" s="19"/>
      <c r="O81" s="19"/>
      <c r="P81" s="19"/>
      <c r="Q81" s="29"/>
    </row>
    <row r="82" spans="1:17" x14ac:dyDescent="0.25">
      <c r="A82" s="155" t="s">
        <v>190</v>
      </c>
      <c r="B82" s="19"/>
      <c r="C82" s="19"/>
      <c r="D82" s="19"/>
      <c r="E82" s="19"/>
      <c r="F82" s="19"/>
      <c r="G82" s="19"/>
      <c r="H82" s="19"/>
      <c r="I82" s="19"/>
      <c r="J82" s="19"/>
      <c r="K82" s="19"/>
      <c r="L82" s="19"/>
      <c r="M82" s="19"/>
      <c r="N82" s="19"/>
      <c r="O82" s="19"/>
      <c r="P82" s="19"/>
      <c r="Q82" s="29"/>
    </row>
    <row r="83" spans="1:17" x14ac:dyDescent="0.25">
      <c r="A83" s="156" t="s">
        <v>180</v>
      </c>
      <c r="B83" s="19"/>
      <c r="C83" s="19"/>
      <c r="D83" s="19"/>
      <c r="E83" s="19"/>
      <c r="F83" s="19"/>
      <c r="G83" s="19"/>
      <c r="H83" s="19"/>
      <c r="I83" s="19"/>
      <c r="J83" s="19"/>
      <c r="K83" s="19"/>
      <c r="L83" s="19"/>
      <c r="M83" s="19"/>
      <c r="N83" s="19"/>
      <c r="O83" s="19"/>
      <c r="P83" s="19"/>
      <c r="Q83" s="29"/>
    </row>
    <row r="84" spans="1:17" x14ac:dyDescent="0.25">
      <c r="A84" s="155" t="s">
        <v>215</v>
      </c>
      <c r="B84" s="19"/>
      <c r="C84" s="19"/>
      <c r="D84" s="19"/>
      <c r="E84" s="19"/>
      <c r="F84" s="19"/>
      <c r="G84" s="19"/>
      <c r="H84" s="19"/>
      <c r="I84" s="19"/>
      <c r="J84" s="19"/>
      <c r="K84" s="19"/>
      <c r="L84" s="19"/>
      <c r="M84" s="19"/>
      <c r="N84" s="19"/>
      <c r="O84" s="19"/>
      <c r="P84" s="19"/>
      <c r="Q84" s="29"/>
    </row>
    <row r="85" spans="1:17" x14ac:dyDescent="0.25">
      <c r="A85" s="155" t="s">
        <v>183</v>
      </c>
      <c r="B85" s="19"/>
      <c r="C85" s="19"/>
      <c r="D85" s="19"/>
      <c r="E85" s="19"/>
      <c r="F85" s="19"/>
      <c r="G85" s="19"/>
      <c r="H85" s="19"/>
      <c r="I85" s="19"/>
      <c r="J85" s="19"/>
      <c r="K85" s="19"/>
      <c r="L85" s="19"/>
      <c r="M85" s="19"/>
      <c r="N85" s="19"/>
      <c r="O85" s="19"/>
      <c r="P85" s="19"/>
      <c r="Q85" s="29"/>
    </row>
    <row r="86" spans="1:17" ht="13.8" thickBot="1" x14ac:dyDescent="0.3">
      <c r="A86" s="33"/>
      <c r="B86" s="34"/>
      <c r="C86" s="34"/>
      <c r="D86" s="34"/>
      <c r="E86" s="34"/>
      <c r="F86" s="34"/>
      <c r="G86" s="34"/>
      <c r="H86" s="34"/>
      <c r="I86" s="34"/>
      <c r="J86" s="34"/>
      <c r="K86" s="34"/>
      <c r="L86" s="34"/>
      <c r="M86" s="34"/>
      <c r="N86" s="34"/>
      <c r="O86" s="34"/>
      <c r="P86" s="34"/>
      <c r="Q86" s="35"/>
    </row>
  </sheetData>
  <sheetProtection algorithmName="SHA-512" hashValue="nuF/jolxlLeyH/slK3PE5X9PqnI/IAXAvjM+y2V51Nyl2PoC71uumkAL/S/SA+rXWJ7UhM0Q1xwn3bn/OJO7WA==" saltValue="fvZj6dmzJe9/hGZ7SiVsRA==" spinCount="100000" sheet="1" selectLockedCells="1"/>
  <mergeCells count="49">
    <mergeCell ref="A2:Q2"/>
    <mergeCell ref="A3:Q3"/>
    <mergeCell ref="A49:B53"/>
    <mergeCell ref="C49:C53"/>
    <mergeCell ref="A48:B48"/>
    <mergeCell ref="G48:I48"/>
    <mergeCell ref="D51:E51"/>
    <mergeCell ref="D52:E52"/>
    <mergeCell ref="G49:I49"/>
    <mergeCell ref="G50:I50"/>
    <mergeCell ref="G51:I51"/>
    <mergeCell ref="G52:I52"/>
    <mergeCell ref="A5:Q5"/>
    <mergeCell ref="C7:F7"/>
    <mergeCell ref="A47:Q47"/>
    <mergeCell ref="D49:E49"/>
    <mergeCell ref="D50:E50"/>
    <mergeCell ref="P40:Q40"/>
    <mergeCell ref="G42:H42"/>
    <mergeCell ref="D53:M53"/>
    <mergeCell ref="G56:I56"/>
    <mergeCell ref="G54:I54"/>
    <mergeCell ref="G55:I55"/>
    <mergeCell ref="D54:E54"/>
    <mergeCell ref="D55:E55"/>
    <mergeCell ref="A54:B59"/>
    <mergeCell ref="C54:C59"/>
    <mergeCell ref="D59:M59"/>
    <mergeCell ref="D56:E56"/>
    <mergeCell ref="D58:E58"/>
    <mergeCell ref="G57:I57"/>
    <mergeCell ref="G58:I58"/>
    <mergeCell ref="D57:E57"/>
    <mergeCell ref="O7:P7"/>
    <mergeCell ref="C8:F8"/>
    <mergeCell ref="G44:H44"/>
    <mergeCell ref="A29:Q32"/>
    <mergeCell ref="A34:Q37"/>
    <mergeCell ref="J42:N42"/>
    <mergeCell ref="P42:Q42"/>
    <mergeCell ref="A44:E44"/>
    <mergeCell ref="A40:E40"/>
    <mergeCell ref="J40:N40"/>
    <mergeCell ref="J44:N44"/>
    <mergeCell ref="P44:Q44"/>
    <mergeCell ref="O8:P8"/>
    <mergeCell ref="A42:E42"/>
    <mergeCell ref="G40:H40"/>
    <mergeCell ref="A39:Q39"/>
  </mergeCells>
  <conditionalFormatting sqref="Q51">
    <cfRule type="expression" dxfId="259" priority="46">
      <formula>Q51&gt;N51</formula>
    </cfRule>
  </conditionalFormatting>
  <conditionalFormatting sqref="O53">
    <cfRule type="expression" dxfId="258" priority="40">
      <formula>O53&gt;C49</formula>
    </cfRule>
  </conditionalFormatting>
  <conditionalFormatting sqref="Q49">
    <cfRule type="expression" dxfId="257" priority="39">
      <formula>Q49&gt;N49</formula>
    </cfRule>
  </conditionalFormatting>
  <conditionalFormatting sqref="Q50 Q52:Q53">
    <cfRule type="expression" dxfId="256" priority="38">
      <formula>Q50&gt;N50</formula>
    </cfRule>
  </conditionalFormatting>
  <conditionalFormatting sqref="O59">
    <cfRule type="expression" dxfId="255" priority="22">
      <formula>O59&gt;C54</formula>
    </cfRule>
  </conditionalFormatting>
  <conditionalFormatting sqref="Q54">
    <cfRule type="expression" dxfId="254" priority="21">
      <formula>Q54&gt;N54</formula>
    </cfRule>
  </conditionalFormatting>
  <conditionalFormatting sqref="Q55 Q59">
    <cfRule type="expression" dxfId="253" priority="20">
      <formula>Q55&gt;N55</formula>
    </cfRule>
  </conditionalFormatting>
  <conditionalFormatting sqref="Q56">
    <cfRule type="expression" dxfId="252" priority="19">
      <formula>Q56&gt;N56</formula>
    </cfRule>
  </conditionalFormatting>
  <conditionalFormatting sqref="Q58">
    <cfRule type="expression" dxfId="251" priority="18">
      <formula>Q58&gt;N58</formula>
    </cfRule>
  </conditionalFormatting>
  <conditionalFormatting sqref="K54:L56 K49:L52 K58:L58">
    <cfRule type="expression" dxfId="250" priority="5">
      <formula>K49="No"</formula>
    </cfRule>
  </conditionalFormatting>
  <conditionalFormatting sqref="Q57">
    <cfRule type="expression" dxfId="249" priority="2">
      <formula>Q57&gt;N57</formula>
    </cfRule>
  </conditionalFormatting>
  <conditionalFormatting sqref="K57:L57">
    <cfRule type="expression" dxfId="248" priority="1">
      <formula>K57="No"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60" max="16" man="1"/>
  </rowBreaks>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500-000000000000}">
          <x14:formula1>
            <xm:f>Tables!$Q$2:$Q$7</xm:f>
          </x14:formula1>
          <xm:sqref>C7</xm:sqref>
        </x14:dataValidation>
        <x14:dataValidation type="list" allowBlank="1" showInputMessage="1" showErrorMessage="1" xr:uid="{00000000-0002-0000-0500-000001000000}">
          <x14:formula1>
            <xm:f>Tables!$C$3:$C$22</xm:f>
          </x14:formula1>
          <xm:sqref>M49:M52 M54:M58</xm:sqref>
        </x14:dataValidation>
        <x14:dataValidation type="list" allowBlank="1" showInputMessage="1" showErrorMessage="1" xr:uid="{00000000-0002-0000-0500-000002000000}">
          <x14:formula1>
            <xm:f>Tables!$O$21:$O$23</xm:f>
          </x14:formula1>
          <xm:sqref>K49:K52 K54:K58</xm:sqref>
        </x14:dataValidation>
        <x14:dataValidation type="list" allowBlank="1" showInputMessage="1" showErrorMessage="1" xr:uid="{00000000-0002-0000-0500-000003000000}">
          <x14:formula1>
            <xm:f>Tables!$Q$21:$Q$23</xm:f>
          </x14:formula1>
          <xm:sqref>L49:L52 L54:L58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80C7E-5F05-4C7D-B9F8-859B53349C61}">
  <sheetPr>
    <tabColor rgb="FFFFFF99"/>
    <pageSetUpPr fitToPage="1"/>
  </sheetPr>
  <dimension ref="A1:Q108"/>
  <sheetViews>
    <sheetView topLeftCell="A7" zoomScaleNormal="100" workbookViewId="0">
      <selection activeCell="C7" sqref="C7:F7"/>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200</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8"/>
      <c r="Q7" s="157"/>
    </row>
    <row r="8" spans="1:17" ht="19.95" customHeight="1" x14ac:dyDescent="0.3">
      <c r="A8" s="133"/>
      <c r="B8" s="17" t="s">
        <v>218</v>
      </c>
      <c r="C8" s="474"/>
      <c r="D8" s="474"/>
      <c r="E8" s="474"/>
      <c r="F8" s="474"/>
      <c r="G8" s="19"/>
      <c r="H8" s="19"/>
      <c r="I8" s="19"/>
      <c r="J8" s="19"/>
      <c r="K8" s="18"/>
      <c r="L8" s="18"/>
      <c r="M8" s="18"/>
      <c r="N8" s="17" t="s">
        <v>72</v>
      </c>
      <c r="O8" s="469" t="s">
        <v>155</v>
      </c>
      <c r="P8" s="470"/>
      <c r="Q8" s="126"/>
    </row>
    <row r="9" spans="1:17" ht="13.8" customHeight="1" thickBot="1" x14ac:dyDescent="0.3">
      <c r="A9" s="20"/>
      <c r="B9" s="21"/>
      <c r="C9" s="21"/>
      <c r="D9" s="21"/>
      <c r="E9" s="21"/>
      <c r="F9" s="21"/>
      <c r="G9" s="21"/>
      <c r="H9" s="21"/>
      <c r="I9" s="21"/>
      <c r="J9" s="21"/>
      <c r="K9" s="21"/>
      <c r="L9" s="21"/>
      <c r="M9" s="21"/>
      <c r="N9" s="21"/>
      <c r="O9" s="21"/>
      <c r="P9" s="21"/>
      <c r="Q9" s="22"/>
    </row>
    <row r="10" spans="1:17" ht="13.8" customHeight="1" x14ac:dyDescent="0.25">
      <c r="A10" s="92" t="s">
        <v>64</v>
      </c>
      <c r="B10" s="93"/>
      <c r="C10" s="93"/>
      <c r="D10" s="93"/>
      <c r="E10" s="93"/>
      <c r="F10" s="93"/>
      <c r="G10" s="94"/>
      <c r="H10" s="95" t="s">
        <v>65</v>
      </c>
      <c r="I10" s="96"/>
      <c r="J10" s="96"/>
      <c r="K10" s="97"/>
      <c r="L10" s="97"/>
      <c r="M10" s="97"/>
      <c r="N10" s="97"/>
      <c r="O10" s="97"/>
      <c r="P10" s="95"/>
      <c r="Q10" s="98"/>
    </row>
    <row r="11" spans="1:17"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Band</v>
      </c>
      <c r="B12" s="201"/>
      <c r="C12" s="201"/>
      <c r="D12" s="187">
        <f>+P52</f>
        <v>0</v>
      </c>
      <c r="E12" s="188">
        <f t="shared" ref="E12:E20" si="0">ROUND(+D12*0.08,0)</f>
        <v>0</v>
      </c>
      <c r="F12" s="189">
        <f t="shared" ref="F12:F20" si="1">SUM(D12:E12)</f>
        <v>0</v>
      </c>
      <c r="G12" s="90"/>
      <c r="H12" s="107" t="s">
        <v>141</v>
      </c>
      <c r="I12" s="89"/>
      <c r="J12" s="89"/>
      <c r="K12" s="19"/>
      <c r="L12" s="108"/>
      <c r="M12" s="108"/>
      <c r="N12" s="108"/>
      <c r="O12" s="108"/>
      <c r="P12" s="109"/>
      <c r="Q12" s="110"/>
    </row>
    <row r="13" spans="1:17" ht="15" customHeight="1" x14ac:dyDescent="0.25">
      <c r="A13" s="200" t="s">
        <v>283</v>
      </c>
      <c r="B13" s="201"/>
      <c r="C13" s="201"/>
      <c r="D13" s="190">
        <f>+P56</f>
        <v>0</v>
      </c>
      <c r="E13" s="191">
        <f t="shared" si="0"/>
        <v>0</v>
      </c>
      <c r="F13" s="192">
        <f t="shared" si="1"/>
        <v>0</v>
      </c>
      <c r="G13" s="90"/>
      <c r="H13" s="111" t="s">
        <v>148</v>
      </c>
      <c r="I13" s="89"/>
      <c r="J13" s="89"/>
      <c r="K13" s="19"/>
      <c r="L13" s="108"/>
      <c r="M13" s="108"/>
      <c r="N13" s="108"/>
      <c r="O13" s="108"/>
      <c r="P13" s="109"/>
      <c r="Q13" s="110"/>
    </row>
    <row r="14" spans="1:17" ht="15" customHeight="1" x14ac:dyDescent="0.25">
      <c r="A14" s="200" t="str">
        <f>+A57</f>
        <v>Choir</v>
      </c>
      <c r="B14" s="201"/>
      <c r="C14" s="201"/>
      <c r="D14" s="190">
        <f>+P60</f>
        <v>0</v>
      </c>
      <c r="E14" s="191">
        <f t="shared" si="0"/>
        <v>0</v>
      </c>
      <c r="F14" s="192">
        <f t="shared" si="1"/>
        <v>0</v>
      </c>
      <c r="G14" s="90"/>
      <c r="H14" s="111" t="s">
        <v>149</v>
      </c>
      <c r="I14" s="89"/>
      <c r="J14" s="89"/>
      <c r="K14" s="19"/>
      <c r="L14" s="108"/>
      <c r="M14" s="108"/>
      <c r="N14" s="108"/>
      <c r="O14" s="108"/>
      <c r="P14" s="109"/>
      <c r="Q14" s="110"/>
    </row>
    <row r="15" spans="1:17" ht="15" customHeight="1" x14ac:dyDescent="0.25">
      <c r="A15" s="200" t="str">
        <f>+A61</f>
        <v>Dance Company</v>
      </c>
      <c r="B15" s="201"/>
      <c r="C15" s="201"/>
      <c r="D15" s="193">
        <f>+P64</f>
        <v>0</v>
      </c>
      <c r="E15" s="191">
        <f t="shared" si="0"/>
        <v>0</v>
      </c>
      <c r="F15" s="192">
        <f t="shared" si="1"/>
        <v>0</v>
      </c>
      <c r="G15" s="90"/>
      <c r="H15" s="111" t="s">
        <v>145</v>
      </c>
      <c r="I15" s="89"/>
      <c r="J15" s="89"/>
      <c r="K15" s="19"/>
      <c r="L15" s="108"/>
      <c r="M15" s="108"/>
      <c r="N15" s="108"/>
      <c r="O15" s="108"/>
      <c r="P15" s="109"/>
      <c r="Q15" s="110"/>
    </row>
    <row r="16" spans="1:17" ht="15" customHeight="1" x14ac:dyDescent="0.25">
      <c r="A16" s="200" t="str">
        <f>+A65</f>
        <v>Debate</v>
      </c>
      <c r="B16" s="201"/>
      <c r="C16" s="201"/>
      <c r="D16" s="193">
        <f>+P67</f>
        <v>0</v>
      </c>
      <c r="E16" s="191">
        <f t="shared" si="0"/>
        <v>0</v>
      </c>
      <c r="F16" s="192">
        <f t="shared" si="1"/>
        <v>0</v>
      </c>
      <c r="G16" s="90"/>
      <c r="H16" s="112" t="s">
        <v>167</v>
      </c>
      <c r="I16" s="89"/>
      <c r="J16" s="89"/>
      <c r="K16" s="19"/>
      <c r="L16" s="108"/>
      <c r="M16" s="108"/>
      <c r="N16" s="108"/>
      <c r="O16" s="108"/>
      <c r="P16" s="109"/>
      <c r="Q16" s="113"/>
    </row>
    <row r="17" spans="1:17" ht="15" customHeight="1" x14ac:dyDescent="0.25">
      <c r="A17" s="200" t="str">
        <f>+A68</f>
        <v>Drama</v>
      </c>
      <c r="B17" s="201"/>
      <c r="C17" s="201"/>
      <c r="D17" s="194">
        <f>+P71</f>
        <v>0</v>
      </c>
      <c r="E17" s="191">
        <f t="shared" si="0"/>
        <v>0</v>
      </c>
      <c r="F17" s="192">
        <f t="shared" si="1"/>
        <v>0</v>
      </c>
      <c r="G17" s="90"/>
      <c r="H17" s="112" t="s">
        <v>168</v>
      </c>
      <c r="I17" s="89"/>
      <c r="J17" s="89"/>
      <c r="K17" s="19"/>
      <c r="L17" s="108"/>
      <c r="M17" s="108"/>
      <c r="N17" s="108"/>
      <c r="O17" s="108"/>
      <c r="P17" s="109"/>
      <c r="Q17" s="113"/>
    </row>
    <row r="18" spans="1:17" ht="15" customHeight="1" thickBot="1" x14ac:dyDescent="0.3">
      <c r="A18" s="200" t="str">
        <f>+A72</f>
        <v>Orchestra</v>
      </c>
      <c r="B18" s="201"/>
      <c r="C18" s="201"/>
      <c r="D18" s="194">
        <f>+P75</f>
        <v>0</v>
      </c>
      <c r="E18" s="191">
        <f t="shared" si="0"/>
        <v>0</v>
      </c>
      <c r="F18" s="192">
        <f t="shared" si="1"/>
        <v>0</v>
      </c>
      <c r="G18" s="90"/>
      <c r="H18" s="19"/>
      <c r="I18" s="89"/>
      <c r="J18" s="89"/>
      <c r="K18" s="19"/>
      <c r="L18" s="108"/>
      <c r="M18" s="108"/>
      <c r="N18" s="108"/>
      <c r="O18" s="108"/>
      <c r="P18" s="109"/>
      <c r="Q18" s="113"/>
    </row>
    <row r="19" spans="1:17" ht="15" customHeight="1" x14ac:dyDescent="0.25">
      <c r="A19" s="200" t="str">
        <f>+A76</f>
        <v>Student Council</v>
      </c>
      <c r="B19" s="201"/>
      <c r="C19" s="201"/>
      <c r="D19" s="194">
        <f>+P78</f>
        <v>0</v>
      </c>
      <c r="E19" s="191">
        <f t="shared" si="0"/>
        <v>0</v>
      </c>
      <c r="F19" s="192">
        <f t="shared" si="1"/>
        <v>0</v>
      </c>
      <c r="G19" s="90"/>
      <c r="H19" s="95" t="s">
        <v>143</v>
      </c>
      <c r="I19" s="114"/>
      <c r="J19" s="114"/>
      <c r="K19" s="11"/>
      <c r="L19" s="116"/>
      <c r="M19" s="116"/>
      <c r="N19" s="116"/>
      <c r="O19" s="116"/>
      <c r="P19" s="117"/>
      <c r="Q19" s="94"/>
    </row>
    <row r="20" spans="1:17" ht="15" customHeight="1" x14ac:dyDescent="0.25">
      <c r="A20" s="200" t="str">
        <f>+A79</f>
        <v>Yearbook</v>
      </c>
      <c r="B20" s="201"/>
      <c r="C20" s="201"/>
      <c r="D20" s="194">
        <f>+P81</f>
        <v>0</v>
      </c>
      <c r="E20" s="191">
        <f t="shared" si="0"/>
        <v>0</v>
      </c>
      <c r="F20" s="192">
        <f t="shared" si="1"/>
        <v>0</v>
      </c>
      <c r="G20" s="90"/>
      <c r="H20" s="118" t="s">
        <v>202</v>
      </c>
      <c r="I20" s="89"/>
      <c r="J20" s="89"/>
      <c r="K20" s="19"/>
      <c r="L20" s="119"/>
      <c r="M20" s="119"/>
      <c r="N20" s="119"/>
      <c r="O20" s="119"/>
      <c r="P20" s="109"/>
      <c r="Q20" s="113"/>
    </row>
    <row r="21" spans="1:17" ht="15" customHeight="1" x14ac:dyDescent="0.25">
      <c r="A21" s="200"/>
      <c r="B21" s="201"/>
      <c r="C21" s="201"/>
      <c r="D21" s="194">
        <v>0</v>
      </c>
      <c r="E21" s="191">
        <f t="shared" ref="E21:E25" si="2">ROUND(+D21*0.08,0)</f>
        <v>0</v>
      </c>
      <c r="F21" s="192">
        <f t="shared" ref="F21:F26" si="3">SUM(D21:E21)</f>
        <v>0</v>
      </c>
      <c r="G21" s="90"/>
      <c r="H21" s="118" t="s">
        <v>169</v>
      </c>
      <c r="I21" s="89"/>
      <c r="J21" s="89"/>
      <c r="K21" s="19"/>
      <c r="L21" s="119"/>
      <c r="M21" s="119"/>
      <c r="N21" s="119"/>
      <c r="O21" s="119"/>
      <c r="P21" s="109"/>
      <c r="Q21" s="113"/>
    </row>
    <row r="22" spans="1:17" ht="15" customHeight="1" thickBot="1" x14ac:dyDescent="0.3">
      <c r="A22" s="200"/>
      <c r="B22" s="201"/>
      <c r="C22" s="201"/>
      <c r="D22" s="194">
        <v>0</v>
      </c>
      <c r="E22" s="191">
        <f t="shared" si="2"/>
        <v>0</v>
      </c>
      <c r="F22" s="192">
        <f t="shared" si="3"/>
        <v>0</v>
      </c>
      <c r="G22" s="90"/>
      <c r="H22" s="111"/>
      <c r="I22" s="19"/>
      <c r="J22" s="19"/>
      <c r="K22" s="19"/>
      <c r="L22" s="119"/>
      <c r="M22" s="119"/>
      <c r="N22" s="119"/>
      <c r="O22" s="119"/>
      <c r="P22" s="124"/>
      <c r="Q22" s="125"/>
    </row>
    <row r="23" spans="1:17" ht="15" customHeight="1" x14ac:dyDescent="0.25">
      <c r="A23" s="200"/>
      <c r="B23" s="201"/>
      <c r="C23" s="201"/>
      <c r="D23" s="205">
        <v>0</v>
      </c>
      <c r="E23" s="191">
        <f t="shared" si="2"/>
        <v>0</v>
      </c>
      <c r="F23" s="192">
        <f t="shared" si="3"/>
        <v>0</v>
      </c>
      <c r="G23" s="90"/>
      <c r="H23" s="23" t="s">
        <v>69</v>
      </c>
      <c r="I23" s="25"/>
      <c r="J23" s="28"/>
      <c r="K23" s="28"/>
      <c r="L23" s="28"/>
      <c r="M23" s="116"/>
      <c r="N23" s="116"/>
      <c r="O23" s="116"/>
      <c r="P23" s="117"/>
      <c r="Q23" s="94"/>
    </row>
    <row r="24" spans="1:17" ht="15" customHeight="1" x14ac:dyDescent="0.25">
      <c r="A24" s="200"/>
      <c r="B24" s="201"/>
      <c r="C24" s="201"/>
      <c r="D24" s="205">
        <v>0</v>
      </c>
      <c r="E24" s="191">
        <f t="shared" si="2"/>
        <v>0</v>
      </c>
      <c r="F24" s="192">
        <f t="shared" si="3"/>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2"/>
        <v>0</v>
      </c>
      <c r="F25" s="281">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 t="shared" ref="E26" si="4">+D26*0.08</f>
        <v>0</v>
      </c>
      <c r="F26" s="278">
        <f t="shared" si="3"/>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220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ht="13.8" customHeight="1" x14ac:dyDescent="0.25">
      <c r="A38" s="139" t="s">
        <v>147</v>
      </c>
      <c r="B38" s="140"/>
      <c r="C38" s="140"/>
      <c r="D38" s="140"/>
      <c r="E38" s="140"/>
      <c r="F38" s="140"/>
      <c r="G38" s="140"/>
      <c r="H38" s="140"/>
      <c r="I38" s="140"/>
      <c r="J38" s="140"/>
      <c r="K38" s="140"/>
      <c r="L38" s="140"/>
      <c r="M38" s="140"/>
      <c r="N38" s="140"/>
      <c r="O38" s="140"/>
      <c r="P38" s="140"/>
      <c r="Q38" s="141"/>
    </row>
    <row r="39" spans="1:17" ht="30" customHeight="1" x14ac:dyDescent="0.25">
      <c r="A39" s="487" t="s">
        <v>248</v>
      </c>
      <c r="B39" s="488"/>
      <c r="C39" s="488"/>
      <c r="D39" s="488"/>
      <c r="E39" s="488"/>
      <c r="F39" s="488"/>
      <c r="G39" s="488"/>
      <c r="H39" s="488"/>
      <c r="I39" s="488"/>
      <c r="J39" s="488"/>
      <c r="K39" s="488"/>
      <c r="L39" s="488"/>
      <c r="M39" s="488"/>
      <c r="N39" s="488"/>
      <c r="O39" s="488"/>
      <c r="P39" s="488"/>
      <c r="Q39" s="489"/>
    </row>
    <row r="40" spans="1:17" ht="27" customHeight="1" x14ac:dyDescent="0.25">
      <c r="A40" s="490"/>
      <c r="B40" s="491"/>
      <c r="C40" s="491"/>
      <c r="D40" s="491"/>
      <c r="E40" s="491"/>
      <c r="F40" s="19"/>
      <c r="G40" s="492"/>
      <c r="H40" s="492"/>
      <c r="I40" s="88"/>
      <c r="J40" s="491"/>
      <c r="K40" s="491"/>
      <c r="L40" s="491"/>
      <c r="M40" s="491"/>
      <c r="N40" s="491"/>
      <c r="O40" s="19"/>
      <c r="P40" s="492"/>
      <c r="Q40" s="493"/>
    </row>
    <row r="41" spans="1:17" ht="13.8" customHeight="1" x14ac:dyDescent="0.25">
      <c r="A41" s="30" t="s">
        <v>219</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513" t="s">
        <v>25</v>
      </c>
      <c r="B49" s="514"/>
      <c r="C49" s="475">
        <f>+'HS - Positions and Funding'!B12</f>
        <v>8097</v>
      </c>
      <c r="D49" s="519" t="s">
        <v>52</v>
      </c>
      <c r="E49" s="520"/>
      <c r="F49" s="168" t="s">
        <v>4</v>
      </c>
      <c r="G49" s="451"/>
      <c r="H49" s="451"/>
      <c r="I49" s="451"/>
      <c r="J49" s="169"/>
      <c r="K49" s="170"/>
      <c r="L49" s="170"/>
      <c r="M49" s="169"/>
      <c r="N49" s="171">
        <f>IF(M49&gt;0,HLOOKUP(F49,Tables!$D$3:$M$22,M49+1,0),0)</f>
        <v>0</v>
      </c>
      <c r="O49" s="172">
        <v>0</v>
      </c>
      <c r="P49" s="172">
        <v>0</v>
      </c>
      <c r="Q49" s="173">
        <f>SUM(O49:P49)</f>
        <v>0</v>
      </c>
    </row>
    <row r="50" spans="1:17" ht="19.95" customHeight="1" x14ac:dyDescent="0.25">
      <c r="A50" s="525"/>
      <c r="B50" s="526"/>
      <c r="C50" s="496"/>
      <c r="D50" s="501" t="s">
        <v>53</v>
      </c>
      <c r="E50" s="502"/>
      <c r="F50" s="174" t="s">
        <v>5</v>
      </c>
      <c r="G50" s="450"/>
      <c r="H50" s="450"/>
      <c r="I50" s="450"/>
      <c r="J50" s="175"/>
      <c r="K50" s="175"/>
      <c r="L50" s="175"/>
      <c r="M50" s="175"/>
      <c r="N50" s="176">
        <f>IF(M50&gt;0,HLOOKUP(F50,Tables!$D$3:$M$22,M50+1,0),0)</f>
        <v>0</v>
      </c>
      <c r="O50" s="177">
        <v>0</v>
      </c>
      <c r="P50" s="177">
        <v>0</v>
      </c>
      <c r="Q50" s="178">
        <f t="shared" ref="Q50:Q52" si="5">SUM(O50:P50)</f>
        <v>0</v>
      </c>
    </row>
    <row r="51" spans="1:17" ht="19.95" customHeight="1" x14ac:dyDescent="0.25">
      <c r="A51" s="515"/>
      <c r="B51" s="516"/>
      <c r="C51" s="476"/>
      <c r="D51" s="501" t="s">
        <v>53</v>
      </c>
      <c r="E51" s="502"/>
      <c r="F51" s="174" t="s">
        <v>5</v>
      </c>
      <c r="G51" s="450"/>
      <c r="H51" s="450"/>
      <c r="I51" s="450"/>
      <c r="J51" s="175"/>
      <c r="K51" s="179"/>
      <c r="L51" s="179"/>
      <c r="M51" s="175"/>
      <c r="N51" s="196">
        <f>IF(M51&gt;0,HLOOKUP(F51,Tables!$D$3:$M$22,M51+1,0),0)</f>
        <v>0</v>
      </c>
      <c r="O51" s="177">
        <v>0</v>
      </c>
      <c r="P51" s="177">
        <v>0</v>
      </c>
      <c r="Q51" s="178">
        <f t="shared" si="5"/>
        <v>0</v>
      </c>
    </row>
    <row r="52" spans="1:17" s="143" customFormat="1" ht="19.95" customHeight="1" thickBot="1" x14ac:dyDescent="0.35">
      <c r="A52" s="517"/>
      <c r="B52" s="518"/>
      <c r="C52" s="477"/>
      <c r="D52" s="447" t="str">
        <f>CONCATENATE(A49," Totals")</f>
        <v>Band Totals</v>
      </c>
      <c r="E52" s="448"/>
      <c r="F52" s="448"/>
      <c r="G52" s="448"/>
      <c r="H52" s="448"/>
      <c r="I52" s="448"/>
      <c r="J52" s="448"/>
      <c r="K52" s="448"/>
      <c r="L52" s="448"/>
      <c r="M52" s="449"/>
      <c r="N52" s="180">
        <f>SUM(N49:N51)</f>
        <v>0</v>
      </c>
      <c r="O52" s="180">
        <f>SUM(O49:O51)</f>
        <v>0</v>
      </c>
      <c r="P52" s="180">
        <f>SUM(P49:P51)</f>
        <v>0</v>
      </c>
      <c r="Q52" s="181">
        <f t="shared" si="5"/>
        <v>0</v>
      </c>
    </row>
    <row r="53" spans="1:17" s="143" customFormat="1" ht="19.95" customHeight="1" x14ac:dyDescent="0.25">
      <c r="A53" s="513" t="s">
        <v>283</v>
      </c>
      <c r="B53" s="514"/>
      <c r="C53" s="475">
        <f>+'HS - Positions and Funding'!B10</f>
        <v>0</v>
      </c>
      <c r="D53" s="519" t="s">
        <v>58</v>
      </c>
      <c r="E53" s="520"/>
      <c r="F53" s="168" t="s">
        <v>10</v>
      </c>
      <c r="G53" s="451"/>
      <c r="H53" s="451"/>
      <c r="I53" s="451"/>
      <c r="J53" s="169"/>
      <c r="K53" s="170"/>
      <c r="L53" s="170"/>
      <c r="M53" s="169"/>
      <c r="N53" s="171">
        <f>IF(M53&gt;0,HLOOKUP(F53,Tables!$D$3:$M$22,M53+1,0),0)</f>
        <v>0</v>
      </c>
      <c r="O53" s="172">
        <v>0</v>
      </c>
      <c r="P53" s="172">
        <v>0</v>
      </c>
      <c r="Q53" s="173">
        <f>SUM(O53:P53)</f>
        <v>0</v>
      </c>
    </row>
    <row r="54" spans="1:17" s="143" customFormat="1" ht="19.95" customHeight="1" x14ac:dyDescent="0.25">
      <c r="A54" s="515"/>
      <c r="B54" s="516"/>
      <c r="C54" s="476"/>
      <c r="D54" s="501" t="s">
        <v>59</v>
      </c>
      <c r="E54" s="502"/>
      <c r="F54" s="174" t="s">
        <v>78</v>
      </c>
      <c r="G54" s="450"/>
      <c r="H54" s="450"/>
      <c r="I54" s="450"/>
      <c r="J54" s="175"/>
      <c r="K54" s="175"/>
      <c r="L54" s="175"/>
      <c r="M54" s="175"/>
      <c r="N54" s="176">
        <f>IF(M54&gt;0,HLOOKUP(F54,Tables!$D$3:$M$22,M54+1,0),0)</f>
        <v>0</v>
      </c>
      <c r="O54" s="177">
        <v>0</v>
      </c>
      <c r="P54" s="177">
        <v>0</v>
      </c>
      <c r="Q54" s="178">
        <f t="shared" ref="Q54:Q56" si="6">SUM(O54:P54)</f>
        <v>0</v>
      </c>
    </row>
    <row r="55" spans="1:17" s="143" customFormat="1" ht="19.95" customHeight="1" x14ac:dyDescent="0.25">
      <c r="A55" s="515"/>
      <c r="B55" s="516"/>
      <c r="C55" s="476"/>
      <c r="D55" s="501" t="s">
        <v>59</v>
      </c>
      <c r="E55" s="502"/>
      <c r="F55" s="174" t="s">
        <v>78</v>
      </c>
      <c r="G55" s="450"/>
      <c r="H55" s="450"/>
      <c r="I55" s="450"/>
      <c r="J55" s="175"/>
      <c r="K55" s="179"/>
      <c r="L55" s="179"/>
      <c r="M55" s="175"/>
      <c r="N55" s="176">
        <f>IF(M55&gt;0,HLOOKUP(F55,Tables!$D$3:$M$22,M55+1,0),0)</f>
        <v>0</v>
      </c>
      <c r="O55" s="177">
        <v>0</v>
      </c>
      <c r="P55" s="177">
        <v>0</v>
      </c>
      <c r="Q55" s="178">
        <f t="shared" si="6"/>
        <v>0</v>
      </c>
    </row>
    <row r="56" spans="1:17" s="143" customFormat="1" ht="19.95" customHeight="1" thickBot="1" x14ac:dyDescent="0.35">
      <c r="A56" s="517"/>
      <c r="B56" s="518"/>
      <c r="C56" s="477"/>
      <c r="D56" s="447" t="str">
        <f>CONCATENATE(A53," Totals")</f>
        <v>Ballroom Dance Totals</v>
      </c>
      <c r="E56" s="448"/>
      <c r="F56" s="448"/>
      <c r="G56" s="448"/>
      <c r="H56" s="448"/>
      <c r="I56" s="448"/>
      <c r="J56" s="448"/>
      <c r="K56" s="448"/>
      <c r="L56" s="448"/>
      <c r="M56" s="449"/>
      <c r="N56" s="180">
        <f>SUM(N53:N55)</f>
        <v>0</v>
      </c>
      <c r="O56" s="180">
        <f>SUM(O53:O55)</f>
        <v>0</v>
      </c>
      <c r="P56" s="180">
        <f>SUM(P53:P55)</f>
        <v>0</v>
      </c>
      <c r="Q56" s="181">
        <f t="shared" si="6"/>
        <v>0</v>
      </c>
    </row>
    <row r="57" spans="1:17" ht="19.95" customHeight="1" x14ac:dyDescent="0.25">
      <c r="A57" s="513" t="s">
        <v>30</v>
      </c>
      <c r="B57" s="514"/>
      <c r="C57" s="475">
        <f>+'HS - Positions and Funding'!B22</f>
        <v>8097</v>
      </c>
      <c r="D57" s="519" t="s">
        <v>52</v>
      </c>
      <c r="E57" s="520"/>
      <c r="F57" s="168" t="s">
        <v>4</v>
      </c>
      <c r="G57" s="451"/>
      <c r="H57" s="451"/>
      <c r="I57" s="451"/>
      <c r="J57" s="169"/>
      <c r="K57" s="170"/>
      <c r="L57" s="170"/>
      <c r="M57" s="169"/>
      <c r="N57" s="171">
        <f>IF(M57&gt;0,HLOOKUP(F57,Tables!$D$3:$M$22,M57+1,0),0)</f>
        <v>0</v>
      </c>
      <c r="O57" s="172">
        <v>0</v>
      </c>
      <c r="P57" s="172">
        <v>0</v>
      </c>
      <c r="Q57" s="173">
        <f>SUM(O57:P57)</f>
        <v>0</v>
      </c>
    </row>
    <row r="58" spans="1:17" ht="19.95" customHeight="1" x14ac:dyDescent="0.25">
      <c r="A58" s="515"/>
      <c r="B58" s="516"/>
      <c r="C58" s="476"/>
      <c r="D58" s="501" t="s">
        <v>53</v>
      </c>
      <c r="E58" s="502"/>
      <c r="F58" s="174" t="s">
        <v>5</v>
      </c>
      <c r="G58" s="450"/>
      <c r="H58" s="450"/>
      <c r="I58" s="450"/>
      <c r="J58" s="175"/>
      <c r="K58" s="175"/>
      <c r="L58" s="175"/>
      <c r="M58" s="175"/>
      <c r="N58" s="176">
        <f>IF(M58&gt;0,HLOOKUP(F58,Tables!$D$3:$M$22,M58+1,0),0)</f>
        <v>0</v>
      </c>
      <c r="O58" s="177">
        <v>0</v>
      </c>
      <c r="P58" s="177">
        <v>0</v>
      </c>
      <c r="Q58" s="178">
        <f t="shared" ref="Q58:Q60" si="7">SUM(O58:P58)</f>
        <v>0</v>
      </c>
    </row>
    <row r="59" spans="1:17" ht="19.95" customHeight="1" x14ac:dyDescent="0.25">
      <c r="A59" s="515"/>
      <c r="B59" s="516"/>
      <c r="C59" s="476"/>
      <c r="D59" s="501" t="s">
        <v>53</v>
      </c>
      <c r="E59" s="502"/>
      <c r="F59" s="174" t="s">
        <v>5</v>
      </c>
      <c r="G59" s="450"/>
      <c r="H59" s="450"/>
      <c r="I59" s="450"/>
      <c r="J59" s="175"/>
      <c r="K59" s="179"/>
      <c r="L59" s="179"/>
      <c r="M59" s="175"/>
      <c r="N59" s="196">
        <f>IF(M59&gt;0,HLOOKUP(F59,Tables!$D$3:$M$22,M59+1,0),0)</f>
        <v>0</v>
      </c>
      <c r="O59" s="177">
        <v>0</v>
      </c>
      <c r="P59" s="177">
        <v>0</v>
      </c>
      <c r="Q59" s="178">
        <f t="shared" si="7"/>
        <v>0</v>
      </c>
    </row>
    <row r="60" spans="1:17" s="143" customFormat="1" ht="19.95" customHeight="1" thickBot="1" x14ac:dyDescent="0.35">
      <c r="A60" s="517"/>
      <c r="B60" s="518"/>
      <c r="C60" s="477"/>
      <c r="D60" s="447" t="str">
        <f>CONCATENATE(A57," Totals")</f>
        <v>Choir Totals</v>
      </c>
      <c r="E60" s="448"/>
      <c r="F60" s="448"/>
      <c r="G60" s="448"/>
      <c r="H60" s="448"/>
      <c r="I60" s="448"/>
      <c r="J60" s="448"/>
      <c r="K60" s="448"/>
      <c r="L60" s="448"/>
      <c r="M60" s="449"/>
      <c r="N60" s="180">
        <f>SUM(N57:N59)</f>
        <v>0</v>
      </c>
      <c r="O60" s="180">
        <f>SUM(O57:O59)</f>
        <v>0</v>
      </c>
      <c r="P60" s="180">
        <f>SUM(P57:P59)</f>
        <v>0</v>
      </c>
      <c r="Q60" s="181">
        <f t="shared" si="7"/>
        <v>0</v>
      </c>
    </row>
    <row r="61" spans="1:17" ht="19.95" customHeight="1" x14ac:dyDescent="0.25">
      <c r="A61" s="513" t="s">
        <v>28</v>
      </c>
      <c r="B61" s="514"/>
      <c r="C61" s="475">
        <f>+'HS - Positions and Funding'!B30</f>
        <v>2492</v>
      </c>
      <c r="D61" s="519" t="s">
        <v>58</v>
      </c>
      <c r="E61" s="520"/>
      <c r="F61" s="168" t="s">
        <v>10</v>
      </c>
      <c r="G61" s="451"/>
      <c r="H61" s="451"/>
      <c r="I61" s="451"/>
      <c r="J61" s="169"/>
      <c r="K61" s="170"/>
      <c r="L61" s="170"/>
      <c r="M61" s="169"/>
      <c r="N61" s="171">
        <f>IF(M61&gt;0,HLOOKUP(F61,Tables!$D$3:$M$22,M61+1,0),0)</f>
        <v>0</v>
      </c>
      <c r="O61" s="172">
        <v>0</v>
      </c>
      <c r="P61" s="172">
        <v>0</v>
      </c>
      <c r="Q61" s="173">
        <f>SUM(O61:P61)</f>
        <v>0</v>
      </c>
    </row>
    <row r="62" spans="1:17" ht="19.95" customHeight="1" x14ac:dyDescent="0.25">
      <c r="A62" s="515"/>
      <c r="B62" s="516"/>
      <c r="C62" s="476"/>
      <c r="D62" s="501" t="s">
        <v>59</v>
      </c>
      <c r="E62" s="502"/>
      <c r="F62" s="174" t="s">
        <v>78</v>
      </c>
      <c r="G62" s="450"/>
      <c r="H62" s="450"/>
      <c r="I62" s="450"/>
      <c r="J62" s="175"/>
      <c r="K62" s="175"/>
      <c r="L62" s="175"/>
      <c r="M62" s="175"/>
      <c r="N62" s="176">
        <f>IF(M62&gt;0,HLOOKUP(F62,Tables!$D$3:$M$22,M62+1,0),0)</f>
        <v>0</v>
      </c>
      <c r="O62" s="177">
        <v>0</v>
      </c>
      <c r="P62" s="177">
        <v>0</v>
      </c>
      <c r="Q62" s="178">
        <f t="shared" ref="Q62:Q64" si="8">SUM(O62:P62)</f>
        <v>0</v>
      </c>
    </row>
    <row r="63" spans="1:17" ht="19.95" customHeight="1" x14ac:dyDescent="0.25">
      <c r="A63" s="515"/>
      <c r="B63" s="516"/>
      <c r="C63" s="476"/>
      <c r="D63" s="501" t="s">
        <v>59</v>
      </c>
      <c r="E63" s="502"/>
      <c r="F63" s="174" t="s">
        <v>78</v>
      </c>
      <c r="G63" s="450"/>
      <c r="H63" s="450"/>
      <c r="I63" s="450"/>
      <c r="J63" s="175"/>
      <c r="K63" s="179"/>
      <c r="L63" s="179"/>
      <c r="M63" s="175"/>
      <c r="N63" s="176">
        <f>IF(M63&gt;0,HLOOKUP(F63,Tables!$D$3:$M$22,M63+1,0),0)</f>
        <v>0</v>
      </c>
      <c r="O63" s="177">
        <v>0</v>
      </c>
      <c r="P63" s="177">
        <v>0</v>
      </c>
      <c r="Q63" s="178">
        <f t="shared" si="8"/>
        <v>0</v>
      </c>
    </row>
    <row r="64" spans="1:17" s="143" customFormat="1" ht="19.95" customHeight="1" thickBot="1" x14ac:dyDescent="0.35">
      <c r="A64" s="517"/>
      <c r="B64" s="518"/>
      <c r="C64" s="477"/>
      <c r="D64" s="447" t="str">
        <f>CONCATENATE(A61," Totals")</f>
        <v>Dance Company Totals</v>
      </c>
      <c r="E64" s="448"/>
      <c r="F64" s="448"/>
      <c r="G64" s="448"/>
      <c r="H64" s="448"/>
      <c r="I64" s="448"/>
      <c r="J64" s="448"/>
      <c r="K64" s="448"/>
      <c r="L64" s="448"/>
      <c r="M64" s="449"/>
      <c r="N64" s="180">
        <f>SUM(N61:N63)</f>
        <v>0</v>
      </c>
      <c r="O64" s="180">
        <f>SUM(O61:O63)</f>
        <v>0</v>
      </c>
      <c r="P64" s="180">
        <f>SUM(P61:P63)</f>
        <v>0</v>
      </c>
      <c r="Q64" s="181">
        <f t="shared" si="8"/>
        <v>0</v>
      </c>
    </row>
    <row r="65" spans="1:17" ht="19.95" customHeight="1" x14ac:dyDescent="0.25">
      <c r="A65" s="513" t="s">
        <v>33</v>
      </c>
      <c r="B65" s="514"/>
      <c r="C65" s="475">
        <f>+'HS - Positions and Funding'!B32</f>
        <v>5045</v>
      </c>
      <c r="D65" s="519" t="s">
        <v>58</v>
      </c>
      <c r="E65" s="520"/>
      <c r="F65" s="168" t="s">
        <v>4</v>
      </c>
      <c r="G65" s="451"/>
      <c r="H65" s="451"/>
      <c r="I65" s="451"/>
      <c r="J65" s="169"/>
      <c r="K65" s="170"/>
      <c r="L65" s="170"/>
      <c r="M65" s="169"/>
      <c r="N65" s="171">
        <f>IF(M65&gt;0,HLOOKUP(F65,Tables!$D$3:$M$22,M65+1,0),0)</f>
        <v>0</v>
      </c>
      <c r="O65" s="172">
        <v>0</v>
      </c>
      <c r="P65" s="172">
        <v>0</v>
      </c>
      <c r="Q65" s="173">
        <f>SUM(O65:P65)</f>
        <v>0</v>
      </c>
    </row>
    <row r="66" spans="1:17" ht="19.95" customHeight="1" x14ac:dyDescent="0.25">
      <c r="A66" s="515"/>
      <c r="B66" s="516"/>
      <c r="C66" s="476"/>
      <c r="D66" s="501" t="s">
        <v>59</v>
      </c>
      <c r="E66" s="502"/>
      <c r="F66" s="174" t="s">
        <v>5</v>
      </c>
      <c r="G66" s="450"/>
      <c r="H66" s="450"/>
      <c r="I66" s="450"/>
      <c r="J66" s="175"/>
      <c r="K66" s="175"/>
      <c r="L66" s="175"/>
      <c r="M66" s="175"/>
      <c r="N66" s="176">
        <f>IF(M66&gt;0,HLOOKUP(F66,Tables!$D$3:$M$22,M66+1,0),0)</f>
        <v>0</v>
      </c>
      <c r="O66" s="177">
        <v>0</v>
      </c>
      <c r="P66" s="177">
        <v>0</v>
      </c>
      <c r="Q66" s="178">
        <f t="shared" ref="Q66:Q67" si="9">SUM(O66:P66)</f>
        <v>0</v>
      </c>
    </row>
    <row r="67" spans="1:17" s="143" customFormat="1" ht="19.95" customHeight="1" thickBot="1" x14ac:dyDescent="0.35">
      <c r="A67" s="517"/>
      <c r="B67" s="518"/>
      <c r="C67" s="477"/>
      <c r="D67" s="447" t="str">
        <f>CONCATENATE(A65," Totals")</f>
        <v>Debate Totals</v>
      </c>
      <c r="E67" s="448"/>
      <c r="F67" s="448"/>
      <c r="G67" s="448"/>
      <c r="H67" s="448"/>
      <c r="I67" s="448"/>
      <c r="J67" s="448"/>
      <c r="K67" s="524"/>
      <c r="L67" s="524"/>
      <c r="M67" s="449"/>
      <c r="N67" s="180">
        <f>SUM(N65:N66)</f>
        <v>0</v>
      </c>
      <c r="O67" s="180">
        <f>SUM(O65:O66)</f>
        <v>0</v>
      </c>
      <c r="P67" s="180">
        <f>SUM(P65:P66)</f>
        <v>0</v>
      </c>
      <c r="Q67" s="181">
        <f t="shared" si="9"/>
        <v>0</v>
      </c>
    </row>
    <row r="68" spans="1:17" ht="19.95" customHeight="1" x14ac:dyDescent="0.25">
      <c r="A68" s="513" t="s">
        <v>31</v>
      </c>
      <c r="B68" s="514"/>
      <c r="C68" s="475">
        <f>+'HS - Positions and Funding'!B34</f>
        <v>8097</v>
      </c>
      <c r="D68" s="519" t="s">
        <v>52</v>
      </c>
      <c r="E68" s="520"/>
      <c r="F68" s="168" t="s">
        <v>4</v>
      </c>
      <c r="G68" s="451"/>
      <c r="H68" s="451"/>
      <c r="I68" s="451"/>
      <c r="J68" s="169"/>
      <c r="K68" s="170"/>
      <c r="L68" s="170"/>
      <c r="M68" s="169"/>
      <c r="N68" s="171">
        <f>IF(M68&gt;0,HLOOKUP(F68,Tables!$D$3:$M$22,M68+1,0),0)</f>
        <v>0</v>
      </c>
      <c r="O68" s="172">
        <v>0</v>
      </c>
      <c r="P68" s="172">
        <v>0</v>
      </c>
      <c r="Q68" s="173">
        <f>SUM(O68:P68)</f>
        <v>0</v>
      </c>
    </row>
    <row r="69" spans="1:17" ht="19.95" customHeight="1" x14ac:dyDescent="0.25">
      <c r="A69" s="515"/>
      <c r="B69" s="516"/>
      <c r="C69" s="476"/>
      <c r="D69" s="501" t="s">
        <v>53</v>
      </c>
      <c r="E69" s="502"/>
      <c r="F69" s="174" t="s">
        <v>5</v>
      </c>
      <c r="G69" s="450"/>
      <c r="H69" s="450"/>
      <c r="I69" s="450"/>
      <c r="J69" s="175"/>
      <c r="K69" s="175"/>
      <c r="L69" s="175"/>
      <c r="M69" s="175"/>
      <c r="N69" s="176">
        <f>IF(M69&gt;0,HLOOKUP(F69,Tables!$D$3:$M$22,M69+1,0),0)</f>
        <v>0</v>
      </c>
      <c r="O69" s="177">
        <v>0</v>
      </c>
      <c r="P69" s="177">
        <v>0</v>
      </c>
      <c r="Q69" s="178">
        <f t="shared" ref="Q69:Q71" si="10">SUM(O69:P69)</f>
        <v>0</v>
      </c>
    </row>
    <row r="70" spans="1:17" ht="19.95" customHeight="1" x14ac:dyDescent="0.25">
      <c r="A70" s="515"/>
      <c r="B70" s="516"/>
      <c r="C70" s="476"/>
      <c r="D70" s="501" t="s">
        <v>53</v>
      </c>
      <c r="E70" s="502"/>
      <c r="F70" s="174" t="s">
        <v>5</v>
      </c>
      <c r="G70" s="450"/>
      <c r="H70" s="450"/>
      <c r="I70" s="450"/>
      <c r="J70" s="175"/>
      <c r="K70" s="179"/>
      <c r="L70" s="179"/>
      <c r="M70" s="175"/>
      <c r="N70" s="196">
        <f>IF(M70&gt;0,HLOOKUP(F70,Tables!$D$3:$M$22,M70+1,0),0)</f>
        <v>0</v>
      </c>
      <c r="O70" s="177">
        <v>0</v>
      </c>
      <c r="P70" s="177">
        <v>0</v>
      </c>
      <c r="Q70" s="178">
        <f t="shared" si="10"/>
        <v>0</v>
      </c>
    </row>
    <row r="71" spans="1:17" s="143" customFormat="1" ht="19.95" customHeight="1" thickBot="1" x14ac:dyDescent="0.35">
      <c r="A71" s="517"/>
      <c r="B71" s="518"/>
      <c r="C71" s="477"/>
      <c r="D71" s="447" t="str">
        <f>CONCATENATE(A68," Totals")</f>
        <v>Drama Totals</v>
      </c>
      <c r="E71" s="448"/>
      <c r="F71" s="448"/>
      <c r="G71" s="448"/>
      <c r="H71" s="448"/>
      <c r="I71" s="448"/>
      <c r="J71" s="448"/>
      <c r="K71" s="448"/>
      <c r="L71" s="448"/>
      <c r="M71" s="449"/>
      <c r="N71" s="180">
        <f>SUM(N68:N70)</f>
        <v>0</v>
      </c>
      <c r="O71" s="180">
        <f>SUM(O68:O70)</f>
        <v>0</v>
      </c>
      <c r="P71" s="180">
        <f>SUM(P68:P70)</f>
        <v>0</v>
      </c>
      <c r="Q71" s="181">
        <f t="shared" si="10"/>
        <v>0</v>
      </c>
    </row>
    <row r="72" spans="1:17" ht="19.95" customHeight="1" x14ac:dyDescent="0.25">
      <c r="A72" s="513" t="s">
        <v>27</v>
      </c>
      <c r="B72" s="514"/>
      <c r="C72" s="475">
        <f>+'HS - Positions and Funding'!B52</f>
        <v>8097</v>
      </c>
      <c r="D72" s="519" t="s">
        <v>52</v>
      </c>
      <c r="E72" s="520"/>
      <c r="F72" s="168" t="s">
        <v>4</v>
      </c>
      <c r="G72" s="451"/>
      <c r="H72" s="451"/>
      <c r="I72" s="451"/>
      <c r="J72" s="169"/>
      <c r="K72" s="170"/>
      <c r="L72" s="170"/>
      <c r="M72" s="169"/>
      <c r="N72" s="171">
        <f>IF(M72&gt;0,HLOOKUP(F72,Tables!$D$3:$M$22,M72+1,0),0)</f>
        <v>0</v>
      </c>
      <c r="O72" s="172">
        <v>0</v>
      </c>
      <c r="P72" s="172">
        <v>0</v>
      </c>
      <c r="Q72" s="173">
        <f>SUM(O72:P72)</f>
        <v>0</v>
      </c>
    </row>
    <row r="73" spans="1:17" ht="19.95" customHeight="1" x14ac:dyDescent="0.25">
      <c r="A73" s="515"/>
      <c r="B73" s="516"/>
      <c r="C73" s="476"/>
      <c r="D73" s="501" t="s">
        <v>53</v>
      </c>
      <c r="E73" s="502"/>
      <c r="F73" s="174" t="s">
        <v>5</v>
      </c>
      <c r="G73" s="450"/>
      <c r="H73" s="450"/>
      <c r="I73" s="450"/>
      <c r="J73" s="175"/>
      <c r="K73" s="175"/>
      <c r="L73" s="175"/>
      <c r="M73" s="175"/>
      <c r="N73" s="176">
        <f>IF(M73&gt;0,HLOOKUP(F73,Tables!$D$3:$M$22,M73+1,0),0)</f>
        <v>0</v>
      </c>
      <c r="O73" s="177">
        <v>0</v>
      </c>
      <c r="P73" s="177">
        <v>0</v>
      </c>
      <c r="Q73" s="178">
        <f t="shared" ref="Q73:Q75" si="11">SUM(O73:P73)</f>
        <v>0</v>
      </c>
    </row>
    <row r="74" spans="1:17" ht="19.95" customHeight="1" x14ac:dyDescent="0.25">
      <c r="A74" s="515"/>
      <c r="B74" s="516"/>
      <c r="C74" s="476"/>
      <c r="D74" s="501" t="s">
        <v>53</v>
      </c>
      <c r="E74" s="502"/>
      <c r="F74" s="174" t="s">
        <v>5</v>
      </c>
      <c r="G74" s="450"/>
      <c r="H74" s="450"/>
      <c r="I74" s="450"/>
      <c r="J74" s="175"/>
      <c r="K74" s="179"/>
      <c r="L74" s="179"/>
      <c r="M74" s="175"/>
      <c r="N74" s="196">
        <f>IF(M74&gt;0,HLOOKUP(F74,Tables!$D$3:$M$22,M74+1,0),0)</f>
        <v>0</v>
      </c>
      <c r="O74" s="177">
        <v>0</v>
      </c>
      <c r="P74" s="177">
        <v>0</v>
      </c>
      <c r="Q74" s="178">
        <f t="shared" si="11"/>
        <v>0</v>
      </c>
    </row>
    <row r="75" spans="1:17" s="143" customFormat="1" ht="19.95" customHeight="1" thickBot="1" x14ac:dyDescent="0.35">
      <c r="A75" s="517"/>
      <c r="B75" s="518"/>
      <c r="C75" s="477"/>
      <c r="D75" s="447" t="str">
        <f>CONCATENATE(A72," Totals")</f>
        <v>Orchestra Totals</v>
      </c>
      <c r="E75" s="448"/>
      <c r="F75" s="448"/>
      <c r="G75" s="448"/>
      <c r="H75" s="448"/>
      <c r="I75" s="448"/>
      <c r="J75" s="448"/>
      <c r="K75" s="448"/>
      <c r="L75" s="448"/>
      <c r="M75" s="449"/>
      <c r="N75" s="180">
        <f>SUM(N72:N74)</f>
        <v>0</v>
      </c>
      <c r="O75" s="180">
        <f>SUM(O72:O74)</f>
        <v>0</v>
      </c>
      <c r="P75" s="180">
        <f>SUM(P72:P74)</f>
        <v>0</v>
      </c>
      <c r="Q75" s="181">
        <f t="shared" si="11"/>
        <v>0</v>
      </c>
    </row>
    <row r="76" spans="1:17" ht="19.95" customHeight="1" x14ac:dyDescent="0.25">
      <c r="A76" s="513" t="s">
        <v>32</v>
      </c>
      <c r="B76" s="514"/>
      <c r="C76" s="475">
        <f>+'HS - Positions and Funding'!B62</f>
        <v>7288</v>
      </c>
      <c r="D76" s="519" t="s">
        <v>58</v>
      </c>
      <c r="E76" s="520"/>
      <c r="F76" s="168" t="s">
        <v>22</v>
      </c>
      <c r="G76" s="451"/>
      <c r="H76" s="451"/>
      <c r="I76" s="451"/>
      <c r="J76" s="169"/>
      <c r="K76" s="170"/>
      <c r="L76" s="170"/>
      <c r="M76" s="169"/>
      <c r="N76" s="171">
        <f>IF(M76&gt;0,HLOOKUP(F76,Tables!$D$3:$M$22,M76+1,0),0)</f>
        <v>0</v>
      </c>
      <c r="O76" s="172">
        <v>0</v>
      </c>
      <c r="P76" s="172">
        <v>0</v>
      </c>
      <c r="Q76" s="173">
        <f>SUM(O76:P76)</f>
        <v>0</v>
      </c>
    </row>
    <row r="77" spans="1:17" ht="19.95" customHeight="1" x14ac:dyDescent="0.25">
      <c r="A77" s="515"/>
      <c r="B77" s="516"/>
      <c r="C77" s="476"/>
      <c r="D77" s="501" t="s">
        <v>59</v>
      </c>
      <c r="E77" s="502"/>
      <c r="F77" s="174" t="s">
        <v>23</v>
      </c>
      <c r="G77" s="450"/>
      <c r="H77" s="450"/>
      <c r="I77" s="450"/>
      <c r="J77" s="175"/>
      <c r="K77" s="175"/>
      <c r="L77" s="175"/>
      <c r="M77" s="175"/>
      <c r="N77" s="176">
        <f>IF(M77&gt;0,HLOOKUP(F77,Tables!$D$3:$M$22,M77+1,0),0)</f>
        <v>0</v>
      </c>
      <c r="O77" s="177">
        <v>0</v>
      </c>
      <c r="P77" s="177">
        <v>0</v>
      </c>
      <c r="Q77" s="178">
        <f t="shared" ref="Q77:Q78" si="12">SUM(O77:P77)</f>
        <v>0</v>
      </c>
    </row>
    <row r="78" spans="1:17" s="143" customFormat="1" ht="19.95" customHeight="1" thickBot="1" x14ac:dyDescent="0.35">
      <c r="A78" s="517"/>
      <c r="B78" s="518"/>
      <c r="C78" s="477"/>
      <c r="D78" s="447" t="str">
        <f>CONCATENATE(A76," Totals")</f>
        <v>Student Council Totals</v>
      </c>
      <c r="E78" s="448"/>
      <c r="F78" s="448"/>
      <c r="G78" s="448"/>
      <c r="H78" s="448"/>
      <c r="I78" s="448"/>
      <c r="J78" s="448"/>
      <c r="K78" s="524"/>
      <c r="L78" s="524"/>
      <c r="M78" s="449"/>
      <c r="N78" s="180">
        <f>SUM(N76:N77)</f>
        <v>0</v>
      </c>
      <c r="O78" s="180">
        <f>SUM(O76:O77)</f>
        <v>0</v>
      </c>
      <c r="P78" s="180">
        <f>SUM(P76:P77)</f>
        <v>0</v>
      </c>
      <c r="Q78" s="181">
        <f t="shared" si="12"/>
        <v>0</v>
      </c>
    </row>
    <row r="79" spans="1:17" ht="19.95" customHeight="1" x14ac:dyDescent="0.25">
      <c r="A79" s="513" t="s">
        <v>29</v>
      </c>
      <c r="B79" s="514"/>
      <c r="C79" s="475">
        <f>+'HS - Positions and Funding'!B88</f>
        <v>2492</v>
      </c>
      <c r="D79" s="519" t="s">
        <v>58</v>
      </c>
      <c r="E79" s="520"/>
      <c r="F79" s="168" t="s">
        <v>10</v>
      </c>
      <c r="G79" s="451"/>
      <c r="H79" s="451"/>
      <c r="I79" s="451"/>
      <c r="J79" s="169"/>
      <c r="K79" s="170"/>
      <c r="L79" s="170"/>
      <c r="M79" s="169"/>
      <c r="N79" s="171">
        <f>IF(M79&gt;0,HLOOKUP(F79,Tables!$D$3:$M$22,M79+1,0),0)</f>
        <v>0</v>
      </c>
      <c r="O79" s="172">
        <v>0</v>
      </c>
      <c r="P79" s="172">
        <v>0</v>
      </c>
      <c r="Q79" s="173">
        <f>SUM(O79:P79)</f>
        <v>0</v>
      </c>
    </row>
    <row r="80" spans="1:17" ht="19.95" customHeight="1" x14ac:dyDescent="0.25">
      <c r="A80" s="515"/>
      <c r="B80" s="516"/>
      <c r="C80" s="476"/>
      <c r="D80" s="501" t="s">
        <v>59</v>
      </c>
      <c r="E80" s="502"/>
      <c r="F80" s="174" t="s">
        <v>78</v>
      </c>
      <c r="G80" s="450"/>
      <c r="H80" s="450"/>
      <c r="I80" s="450"/>
      <c r="J80" s="175"/>
      <c r="K80" s="175"/>
      <c r="L80" s="175"/>
      <c r="M80" s="175"/>
      <c r="N80" s="176">
        <f>IF(M80&gt;0,HLOOKUP(F80,Tables!$D$3:$M$22,M80+1,0),0)</f>
        <v>0</v>
      </c>
      <c r="O80" s="177">
        <v>0</v>
      </c>
      <c r="P80" s="177">
        <v>0</v>
      </c>
      <c r="Q80" s="178">
        <f t="shared" ref="Q80:Q81" si="13">SUM(O80:P80)</f>
        <v>0</v>
      </c>
    </row>
    <row r="81" spans="1:17" s="143" customFormat="1" ht="19.95" customHeight="1" thickBot="1" x14ac:dyDescent="0.35">
      <c r="A81" s="517"/>
      <c r="B81" s="518"/>
      <c r="C81" s="477"/>
      <c r="D81" s="447" t="str">
        <f>CONCATENATE(A79," Totals")</f>
        <v>Yearbook Totals</v>
      </c>
      <c r="E81" s="448"/>
      <c r="F81" s="448"/>
      <c r="G81" s="448"/>
      <c r="H81" s="448"/>
      <c r="I81" s="448"/>
      <c r="J81" s="448"/>
      <c r="K81" s="524"/>
      <c r="L81" s="524"/>
      <c r="M81" s="449"/>
      <c r="N81" s="180">
        <f>SUM(N79:N80)</f>
        <v>0</v>
      </c>
      <c r="O81" s="180">
        <f>SUM(O79:O80)</f>
        <v>0</v>
      </c>
      <c r="P81" s="180">
        <f>SUM(P79:P80)</f>
        <v>0</v>
      </c>
      <c r="Q81" s="181">
        <f t="shared" si="13"/>
        <v>0</v>
      </c>
    </row>
    <row r="82" spans="1:17" s="142" customFormat="1" ht="19.95" customHeight="1" thickBot="1" x14ac:dyDescent="0.35">
      <c r="A82" s="182"/>
      <c r="B82" s="183"/>
      <c r="C82" s="183"/>
      <c r="D82" s="183"/>
      <c r="E82" s="183"/>
      <c r="F82" s="197"/>
      <c r="G82" s="183"/>
      <c r="H82" s="183"/>
      <c r="I82" s="183"/>
      <c r="J82" s="183"/>
      <c r="K82" s="183"/>
      <c r="L82" s="183"/>
      <c r="M82" s="184" t="s">
        <v>134</v>
      </c>
      <c r="N82" s="185">
        <f>+N52+N60+N64+N67+N71+N75+N78+N81+N56</f>
        <v>0</v>
      </c>
      <c r="O82" s="185">
        <f>+O52+O60+O64+O67+O71+O75+O78+O81+O56</f>
        <v>0</v>
      </c>
      <c r="P82" s="185">
        <f>+P52+P60+P64+P67+P71+P75+P78+P81+P56</f>
        <v>0</v>
      </c>
      <c r="Q82" s="186">
        <f>+Q52+Q60+Q64+Q71+Q75+Q78+Q81+Q67+Q56</f>
        <v>0</v>
      </c>
    </row>
    <row r="83" spans="1:17" ht="12.75" customHeight="1" x14ac:dyDescent="0.25">
      <c r="A83" s="152" t="s">
        <v>178</v>
      </c>
      <c r="B83" s="11"/>
      <c r="C83" s="11"/>
      <c r="D83" s="11"/>
      <c r="E83" s="11"/>
      <c r="F83" s="11"/>
      <c r="G83" s="11"/>
      <c r="H83" s="11"/>
      <c r="I83" s="11"/>
      <c r="J83" s="11"/>
      <c r="K83" s="11"/>
      <c r="L83" s="11"/>
      <c r="M83" s="11"/>
      <c r="N83" s="11"/>
      <c r="O83" s="11"/>
      <c r="P83" s="11"/>
      <c r="Q83" s="132"/>
    </row>
    <row r="84" spans="1:17" ht="12.75" customHeight="1" x14ac:dyDescent="0.25">
      <c r="A84" s="153" t="s">
        <v>221</v>
      </c>
      <c r="B84" s="19"/>
      <c r="C84" s="19"/>
      <c r="D84" s="19"/>
      <c r="E84" s="19"/>
      <c r="F84" s="19"/>
      <c r="G84" s="19"/>
      <c r="H84" s="19"/>
      <c r="I84" s="19"/>
      <c r="J84" s="19"/>
      <c r="K84" s="19"/>
      <c r="L84" s="19"/>
      <c r="M84" s="19"/>
      <c r="N84" s="19"/>
      <c r="O84" s="19"/>
      <c r="P84" s="19"/>
      <c r="Q84" s="29"/>
    </row>
    <row r="85" spans="1:17" ht="12.75" customHeight="1" x14ac:dyDescent="0.25">
      <c r="A85" s="154" t="s">
        <v>179</v>
      </c>
      <c r="B85" s="19"/>
      <c r="C85" s="19"/>
      <c r="D85" s="19"/>
      <c r="E85" s="19"/>
      <c r="F85" s="19"/>
      <c r="G85" s="19"/>
      <c r="H85" s="19"/>
      <c r="I85" s="19"/>
      <c r="J85" s="19"/>
      <c r="K85" s="19"/>
      <c r="L85" s="19"/>
      <c r="M85" s="19"/>
      <c r="N85" s="19"/>
      <c r="O85" s="19"/>
      <c r="P85" s="19"/>
      <c r="Q85" s="29"/>
    </row>
    <row r="86" spans="1:17" ht="12.75" customHeight="1" x14ac:dyDescent="0.25">
      <c r="A86" s="154" t="s">
        <v>207</v>
      </c>
      <c r="B86" s="19"/>
      <c r="C86" s="19"/>
      <c r="D86" s="19"/>
      <c r="E86" s="19"/>
      <c r="F86" s="19"/>
      <c r="G86" s="19"/>
      <c r="H86" s="19"/>
      <c r="I86" s="19"/>
      <c r="J86" s="19"/>
      <c r="K86" s="19"/>
      <c r="L86" s="19"/>
      <c r="M86" s="19"/>
      <c r="N86" s="19"/>
      <c r="O86" s="19"/>
      <c r="P86" s="19"/>
      <c r="Q86" s="29"/>
    </row>
    <row r="87" spans="1:17" ht="12.75" customHeight="1" x14ac:dyDescent="0.25">
      <c r="A87" s="154" t="s">
        <v>208</v>
      </c>
      <c r="B87" s="19"/>
      <c r="C87" s="19"/>
      <c r="D87" s="19"/>
      <c r="E87" s="19"/>
      <c r="F87" s="19"/>
      <c r="G87" s="19"/>
      <c r="H87" s="19"/>
      <c r="I87" s="19"/>
      <c r="J87" s="19"/>
      <c r="K87" s="19"/>
      <c r="L87" s="19"/>
      <c r="M87" s="19"/>
      <c r="N87" s="19"/>
      <c r="O87" s="19"/>
      <c r="P87" s="19"/>
      <c r="Q87" s="29"/>
    </row>
    <row r="88" spans="1:17" x14ac:dyDescent="0.25">
      <c r="A88" s="153" t="s">
        <v>171</v>
      </c>
      <c r="B88" s="19"/>
      <c r="C88" s="19"/>
      <c r="D88" s="19"/>
      <c r="E88" s="19"/>
      <c r="F88" s="19"/>
      <c r="G88" s="19"/>
      <c r="H88" s="19"/>
      <c r="I88" s="19"/>
      <c r="J88" s="19"/>
      <c r="K88" s="19"/>
      <c r="L88" s="19"/>
      <c r="M88" s="19"/>
      <c r="N88" s="19"/>
      <c r="O88" s="19"/>
      <c r="P88" s="19"/>
      <c r="Q88" s="29"/>
    </row>
    <row r="89" spans="1:17" x14ac:dyDescent="0.25">
      <c r="A89" s="154" t="s">
        <v>222</v>
      </c>
      <c r="B89" s="19"/>
      <c r="C89" s="19"/>
      <c r="D89" s="19"/>
      <c r="E89" s="19"/>
      <c r="F89" s="19"/>
      <c r="G89" s="19"/>
      <c r="H89" s="19"/>
      <c r="I89" s="19"/>
      <c r="J89" s="19"/>
      <c r="K89" s="19"/>
      <c r="L89" s="19"/>
      <c r="M89" s="19"/>
      <c r="N89" s="19"/>
      <c r="O89" s="19"/>
      <c r="P89" s="19"/>
      <c r="Q89" s="29"/>
    </row>
    <row r="90" spans="1:17" x14ac:dyDescent="0.25">
      <c r="A90" s="155" t="s">
        <v>177</v>
      </c>
      <c r="B90" s="19"/>
      <c r="C90" s="19"/>
      <c r="D90" s="19"/>
      <c r="E90" s="19"/>
      <c r="F90" s="19"/>
      <c r="G90" s="19"/>
      <c r="H90" s="19"/>
      <c r="I90" s="19"/>
      <c r="J90" s="19"/>
      <c r="K90" s="19"/>
      <c r="L90" s="19"/>
      <c r="M90" s="19"/>
      <c r="N90" s="19"/>
      <c r="O90" s="19"/>
      <c r="P90" s="19"/>
      <c r="Q90" s="29"/>
    </row>
    <row r="91" spans="1:17" x14ac:dyDescent="0.25">
      <c r="A91" s="155" t="s">
        <v>209</v>
      </c>
      <c r="B91" s="19"/>
      <c r="C91" s="19"/>
      <c r="D91" s="19"/>
      <c r="E91" s="19"/>
      <c r="F91" s="19"/>
      <c r="G91" s="19"/>
      <c r="H91" s="19"/>
      <c r="I91" s="19"/>
      <c r="J91" s="19"/>
      <c r="K91" s="19"/>
      <c r="L91" s="19"/>
      <c r="M91" s="19"/>
      <c r="N91" s="19"/>
      <c r="O91" s="19"/>
      <c r="P91" s="19"/>
      <c r="Q91" s="29"/>
    </row>
    <row r="92" spans="1:17" x14ac:dyDescent="0.25">
      <c r="A92" s="156" t="s">
        <v>172</v>
      </c>
      <c r="B92" s="19"/>
      <c r="C92" s="19"/>
      <c r="D92" s="19"/>
      <c r="E92" s="19"/>
      <c r="F92" s="19"/>
      <c r="G92" s="19"/>
      <c r="H92" s="19"/>
      <c r="I92" s="19"/>
      <c r="J92" s="19"/>
      <c r="K92" s="19"/>
      <c r="L92" s="19"/>
      <c r="M92" s="19"/>
      <c r="N92" s="19"/>
      <c r="O92" s="19"/>
      <c r="P92" s="19"/>
      <c r="Q92" s="29"/>
    </row>
    <row r="93" spans="1:17" x14ac:dyDescent="0.25">
      <c r="A93" s="155" t="s">
        <v>223</v>
      </c>
      <c r="B93" s="19"/>
      <c r="C93" s="19"/>
      <c r="D93" s="19"/>
      <c r="E93" s="19"/>
      <c r="F93" s="19"/>
      <c r="G93" s="19"/>
      <c r="H93" s="19"/>
      <c r="I93" s="19"/>
      <c r="J93" s="19"/>
      <c r="K93" s="19"/>
      <c r="L93" s="19"/>
      <c r="M93" s="19"/>
      <c r="N93" s="19"/>
      <c r="O93" s="19"/>
      <c r="P93" s="19"/>
      <c r="Q93" s="29"/>
    </row>
    <row r="94" spans="1:17" x14ac:dyDescent="0.25">
      <c r="A94" s="155" t="s">
        <v>210</v>
      </c>
      <c r="B94" s="19"/>
      <c r="C94" s="19"/>
      <c r="D94" s="19"/>
      <c r="E94" s="19"/>
      <c r="F94" s="19"/>
      <c r="G94" s="19"/>
      <c r="H94" s="19"/>
      <c r="I94" s="19"/>
      <c r="J94" s="19"/>
      <c r="K94" s="19"/>
      <c r="L94" s="19"/>
      <c r="M94" s="19"/>
      <c r="N94" s="19"/>
      <c r="O94" s="19"/>
      <c r="P94" s="19"/>
      <c r="Q94" s="29"/>
    </row>
    <row r="95" spans="1:17" x14ac:dyDescent="0.25">
      <c r="A95" s="156" t="s">
        <v>173</v>
      </c>
      <c r="B95" s="19"/>
      <c r="C95" s="19"/>
      <c r="D95" s="19"/>
      <c r="E95" s="19"/>
      <c r="F95" s="19"/>
      <c r="G95" s="19"/>
      <c r="H95" s="19"/>
      <c r="I95" s="19"/>
      <c r="J95" s="19"/>
      <c r="K95" s="19"/>
      <c r="L95" s="19"/>
      <c r="M95" s="19"/>
      <c r="N95" s="19"/>
      <c r="O95" s="19"/>
      <c r="P95" s="19"/>
      <c r="Q95" s="29"/>
    </row>
    <row r="96" spans="1:17" x14ac:dyDescent="0.25">
      <c r="A96" s="155" t="s">
        <v>224</v>
      </c>
      <c r="B96" s="19"/>
      <c r="C96" s="19"/>
      <c r="D96" s="19"/>
      <c r="E96" s="19"/>
      <c r="F96" s="19"/>
      <c r="G96" s="19"/>
      <c r="H96" s="19"/>
      <c r="I96" s="19"/>
      <c r="J96" s="19"/>
      <c r="K96" s="19"/>
      <c r="L96" s="19"/>
      <c r="M96" s="19"/>
      <c r="N96" s="19"/>
      <c r="O96" s="19"/>
      <c r="P96" s="19"/>
      <c r="Q96" s="29"/>
    </row>
    <row r="97" spans="1:17" x14ac:dyDescent="0.25">
      <c r="A97" s="155" t="s">
        <v>176</v>
      </c>
      <c r="B97" s="19"/>
      <c r="C97" s="19"/>
      <c r="D97" s="19"/>
      <c r="E97" s="19"/>
      <c r="F97" s="19"/>
      <c r="G97" s="19"/>
      <c r="H97" s="19"/>
      <c r="I97" s="19"/>
      <c r="J97" s="19"/>
      <c r="K97" s="19"/>
      <c r="L97" s="19"/>
      <c r="M97" s="19"/>
      <c r="N97" s="19"/>
      <c r="O97" s="19"/>
      <c r="P97" s="19"/>
      <c r="Q97" s="29"/>
    </row>
    <row r="98" spans="1:17" x14ac:dyDescent="0.25">
      <c r="A98" s="155" t="s">
        <v>212</v>
      </c>
      <c r="B98" s="19"/>
      <c r="C98" s="19"/>
      <c r="D98" s="19"/>
      <c r="E98" s="19"/>
      <c r="F98" s="19"/>
      <c r="G98" s="19"/>
      <c r="H98" s="19"/>
      <c r="I98" s="19"/>
      <c r="J98" s="19"/>
      <c r="K98" s="19"/>
      <c r="L98" s="19"/>
      <c r="M98" s="19"/>
      <c r="N98" s="19"/>
      <c r="O98" s="19"/>
      <c r="P98" s="19"/>
      <c r="Q98" s="29"/>
    </row>
    <row r="99" spans="1:17" x14ac:dyDescent="0.25">
      <c r="A99" s="156" t="s">
        <v>174</v>
      </c>
      <c r="B99" s="19"/>
      <c r="C99" s="19"/>
      <c r="D99" s="19"/>
      <c r="E99" s="19"/>
      <c r="F99" s="19"/>
      <c r="G99" s="19"/>
      <c r="H99" s="19"/>
      <c r="I99" s="19"/>
      <c r="J99" s="19"/>
      <c r="K99" s="19"/>
      <c r="L99" s="19"/>
      <c r="M99" s="19"/>
      <c r="N99" s="19"/>
      <c r="O99" s="19"/>
      <c r="P99" s="19"/>
      <c r="Q99" s="29"/>
    </row>
    <row r="100" spans="1:17" x14ac:dyDescent="0.25">
      <c r="A100" s="155" t="s">
        <v>213</v>
      </c>
      <c r="B100" s="19"/>
      <c r="C100" s="19"/>
      <c r="D100" s="19"/>
      <c r="E100" s="19"/>
      <c r="F100" s="19"/>
      <c r="G100" s="19"/>
      <c r="H100" s="19"/>
      <c r="I100" s="19"/>
      <c r="J100" s="19"/>
      <c r="K100" s="19"/>
      <c r="L100" s="19"/>
      <c r="M100" s="19"/>
      <c r="N100" s="19"/>
      <c r="O100" s="19"/>
      <c r="P100" s="19"/>
      <c r="Q100" s="29"/>
    </row>
    <row r="101" spans="1:17" x14ac:dyDescent="0.25">
      <c r="A101" s="155" t="s">
        <v>214</v>
      </c>
      <c r="B101" s="19"/>
      <c r="C101" s="19"/>
      <c r="D101" s="19"/>
      <c r="E101" s="19"/>
      <c r="F101" s="19"/>
      <c r="G101" s="19"/>
      <c r="H101" s="19"/>
      <c r="I101" s="19"/>
      <c r="J101" s="19"/>
      <c r="K101" s="19"/>
      <c r="L101" s="19"/>
      <c r="M101" s="19"/>
      <c r="N101" s="19"/>
      <c r="O101" s="19"/>
      <c r="P101" s="19"/>
      <c r="Q101" s="29"/>
    </row>
    <row r="102" spans="1:17" x14ac:dyDescent="0.25">
      <c r="A102" s="156" t="s">
        <v>175</v>
      </c>
      <c r="B102" s="19"/>
      <c r="C102" s="19"/>
      <c r="D102" s="19"/>
      <c r="E102" s="19"/>
      <c r="F102" s="19"/>
      <c r="G102" s="19"/>
      <c r="H102" s="19"/>
      <c r="I102" s="19"/>
      <c r="J102" s="19"/>
      <c r="K102" s="19"/>
      <c r="L102" s="19"/>
      <c r="M102" s="19"/>
      <c r="N102" s="19"/>
      <c r="O102" s="19"/>
      <c r="P102" s="19"/>
      <c r="Q102" s="29"/>
    </row>
    <row r="103" spans="1:17" x14ac:dyDescent="0.25">
      <c r="A103" s="155" t="s">
        <v>213</v>
      </c>
      <c r="B103" s="19"/>
      <c r="C103" s="19"/>
      <c r="D103" s="19"/>
      <c r="E103" s="19"/>
      <c r="F103" s="19"/>
      <c r="G103" s="19"/>
      <c r="H103" s="19"/>
      <c r="I103" s="19"/>
      <c r="J103" s="19"/>
      <c r="K103" s="19"/>
      <c r="L103" s="19"/>
      <c r="M103" s="19"/>
      <c r="N103" s="19"/>
      <c r="O103" s="19"/>
      <c r="P103" s="19"/>
      <c r="Q103" s="29"/>
    </row>
    <row r="104" spans="1:17" x14ac:dyDescent="0.25">
      <c r="A104" s="155" t="s">
        <v>190</v>
      </c>
      <c r="B104" s="19"/>
      <c r="C104" s="19"/>
      <c r="D104" s="19"/>
      <c r="E104" s="19"/>
      <c r="F104" s="19"/>
      <c r="G104" s="19"/>
      <c r="H104" s="19"/>
      <c r="I104" s="19"/>
      <c r="J104" s="19"/>
      <c r="K104" s="19"/>
      <c r="L104" s="19"/>
      <c r="M104" s="19"/>
      <c r="N104" s="19"/>
      <c r="O104" s="19"/>
      <c r="P104" s="19"/>
      <c r="Q104" s="29"/>
    </row>
    <row r="105" spans="1:17" x14ac:dyDescent="0.25">
      <c r="A105" s="156" t="s">
        <v>180</v>
      </c>
      <c r="B105" s="19"/>
      <c r="C105" s="19"/>
      <c r="D105" s="19"/>
      <c r="E105" s="19"/>
      <c r="F105" s="19"/>
      <c r="G105" s="19"/>
      <c r="H105" s="19"/>
      <c r="I105" s="19"/>
      <c r="J105" s="19"/>
      <c r="K105" s="19"/>
      <c r="L105" s="19"/>
      <c r="M105" s="19"/>
      <c r="N105" s="19"/>
      <c r="O105" s="19"/>
      <c r="P105" s="19"/>
      <c r="Q105" s="29"/>
    </row>
    <row r="106" spans="1:17" x14ac:dyDescent="0.25">
      <c r="A106" s="155" t="s">
        <v>215</v>
      </c>
      <c r="B106" s="19"/>
      <c r="C106" s="19"/>
      <c r="D106" s="19"/>
      <c r="E106" s="19"/>
      <c r="F106" s="19"/>
      <c r="G106" s="19"/>
      <c r="H106" s="19"/>
      <c r="I106" s="19"/>
      <c r="J106" s="19"/>
      <c r="K106" s="19"/>
      <c r="L106" s="19"/>
      <c r="M106" s="19"/>
      <c r="N106" s="19"/>
      <c r="O106" s="19"/>
      <c r="P106" s="19"/>
      <c r="Q106" s="29"/>
    </row>
    <row r="107" spans="1:17" x14ac:dyDescent="0.25">
      <c r="A107" s="155" t="s">
        <v>183</v>
      </c>
      <c r="B107" s="19"/>
      <c r="C107" s="19"/>
      <c r="D107" s="19"/>
      <c r="E107" s="19"/>
      <c r="F107" s="19"/>
      <c r="G107" s="19"/>
      <c r="H107" s="19"/>
      <c r="I107" s="19"/>
      <c r="J107" s="19"/>
      <c r="K107" s="19"/>
      <c r="L107" s="19"/>
      <c r="M107" s="19"/>
      <c r="N107" s="19"/>
      <c r="O107" s="19"/>
      <c r="P107" s="19"/>
      <c r="Q107" s="29"/>
    </row>
    <row r="108" spans="1:17" ht="13.8" thickBot="1" x14ac:dyDescent="0.3">
      <c r="A108" s="33"/>
      <c r="B108" s="34"/>
      <c r="C108" s="34"/>
      <c r="D108" s="34"/>
      <c r="E108" s="34"/>
      <c r="F108" s="34"/>
      <c r="G108" s="34"/>
      <c r="H108" s="34"/>
      <c r="I108" s="34"/>
      <c r="J108" s="34"/>
      <c r="K108" s="34"/>
      <c r="L108" s="34"/>
      <c r="M108" s="34"/>
      <c r="N108" s="34"/>
      <c r="O108" s="34"/>
      <c r="P108" s="34"/>
      <c r="Q108" s="35"/>
    </row>
  </sheetData>
  <sheetProtection algorithmName="SHA-512" hashValue="q1sXtem6ltrRH2PeWUC6CQ3rhUBXGkWfY3AkJe1iMCJqvmnKME89YIFtXB4N5YFYcOK4Jy/aZOjmQjeLqES2CA==" saltValue="SSWrBW5UjnqQ4gPcYpBZhw==" spinCount="100000" sheet="1" selectLockedCells="1"/>
  <mergeCells count="100">
    <mergeCell ref="C8:F8"/>
    <mergeCell ref="O8:P8"/>
    <mergeCell ref="A2:Q2"/>
    <mergeCell ref="A3:Q3"/>
    <mergeCell ref="A5:Q5"/>
    <mergeCell ref="C7:F7"/>
    <mergeCell ref="O7:P7"/>
    <mergeCell ref="A48:B48"/>
    <mergeCell ref="G48:I48"/>
    <mergeCell ref="A49:B52"/>
    <mergeCell ref="C49:C52"/>
    <mergeCell ref="D49:E49"/>
    <mergeCell ref="G49:I49"/>
    <mergeCell ref="D50:E50"/>
    <mergeCell ref="D51:E51"/>
    <mergeCell ref="G51:I51"/>
    <mergeCell ref="D52:M52"/>
    <mergeCell ref="G50:I50"/>
    <mergeCell ref="D59:E59"/>
    <mergeCell ref="G59:I59"/>
    <mergeCell ref="D60:M60"/>
    <mergeCell ref="A61:B64"/>
    <mergeCell ref="C61:C64"/>
    <mergeCell ref="D61:E61"/>
    <mergeCell ref="G61:I61"/>
    <mergeCell ref="D62:E62"/>
    <mergeCell ref="G62:I62"/>
    <mergeCell ref="D63:E63"/>
    <mergeCell ref="A57:B60"/>
    <mergeCell ref="C57:C60"/>
    <mergeCell ref="D57:E57"/>
    <mergeCell ref="G57:I57"/>
    <mergeCell ref="D58:E58"/>
    <mergeCell ref="G58:I58"/>
    <mergeCell ref="G63:I63"/>
    <mergeCell ref="D64:M64"/>
    <mergeCell ref="A65:B67"/>
    <mergeCell ref="C65:C67"/>
    <mergeCell ref="D65:E65"/>
    <mergeCell ref="G65:I65"/>
    <mergeCell ref="D66:E66"/>
    <mergeCell ref="G66:I66"/>
    <mergeCell ref="D67:M67"/>
    <mergeCell ref="A68:B71"/>
    <mergeCell ref="C68:C71"/>
    <mergeCell ref="D68:E68"/>
    <mergeCell ref="G68:I68"/>
    <mergeCell ref="D69:E69"/>
    <mergeCell ref="G69:I69"/>
    <mergeCell ref="D70:E70"/>
    <mergeCell ref="G70:I70"/>
    <mergeCell ref="D71:M71"/>
    <mergeCell ref="A72:B75"/>
    <mergeCell ref="C72:C75"/>
    <mergeCell ref="D72:E72"/>
    <mergeCell ref="G72:I72"/>
    <mergeCell ref="D73:E73"/>
    <mergeCell ref="G73:I73"/>
    <mergeCell ref="D74:E74"/>
    <mergeCell ref="G74:I74"/>
    <mergeCell ref="D75:M75"/>
    <mergeCell ref="A76:B78"/>
    <mergeCell ref="C76:C78"/>
    <mergeCell ref="D76:E76"/>
    <mergeCell ref="G76:I76"/>
    <mergeCell ref="D77:E77"/>
    <mergeCell ref="G77:I77"/>
    <mergeCell ref="D78:M78"/>
    <mergeCell ref="A79:B81"/>
    <mergeCell ref="C79:C81"/>
    <mergeCell ref="D79:E79"/>
    <mergeCell ref="G79:I79"/>
    <mergeCell ref="D80:E80"/>
    <mergeCell ref="G80:I80"/>
    <mergeCell ref="D81:M81"/>
    <mergeCell ref="A29:Q32"/>
    <mergeCell ref="A34:Q37"/>
    <mergeCell ref="A39:Q39"/>
    <mergeCell ref="A40:E40"/>
    <mergeCell ref="G40:H40"/>
    <mergeCell ref="J40:N40"/>
    <mergeCell ref="P40:Q40"/>
    <mergeCell ref="A47:Q47"/>
    <mergeCell ref="A42:E42"/>
    <mergeCell ref="G42:H42"/>
    <mergeCell ref="J42:N42"/>
    <mergeCell ref="P42:Q42"/>
    <mergeCell ref="A44:E44"/>
    <mergeCell ref="G44:H44"/>
    <mergeCell ref="J44:N44"/>
    <mergeCell ref="P44:Q44"/>
    <mergeCell ref="A53:B56"/>
    <mergeCell ref="C53:C56"/>
    <mergeCell ref="D53:E53"/>
    <mergeCell ref="G53:I53"/>
    <mergeCell ref="D54:E54"/>
    <mergeCell ref="G54:I54"/>
    <mergeCell ref="D55:E55"/>
    <mergeCell ref="G55:I55"/>
    <mergeCell ref="D56:M56"/>
  </mergeCells>
  <conditionalFormatting sqref="O64 O75">
    <cfRule type="expression" dxfId="247" priority="37">
      <formula>O64&gt;C61</formula>
    </cfRule>
  </conditionalFormatting>
  <conditionalFormatting sqref="Q50:Q52 Q63:Q64 Q66:Q67 Q77:Q78 Q80:Q81">
    <cfRule type="expression" dxfId="246" priority="36">
      <formula>Q50&gt;N50</formula>
    </cfRule>
  </conditionalFormatting>
  <conditionalFormatting sqref="O52">
    <cfRule type="expression" dxfId="245" priority="35">
      <formula>O52&gt;C49</formula>
    </cfRule>
  </conditionalFormatting>
  <conditionalFormatting sqref="Q49">
    <cfRule type="expression" dxfId="244" priority="34">
      <formula>Q49&gt;N49</formula>
    </cfRule>
  </conditionalFormatting>
  <conditionalFormatting sqref="O60">
    <cfRule type="expression" dxfId="243" priority="30">
      <formula>O60&gt;C57</formula>
    </cfRule>
  </conditionalFormatting>
  <conditionalFormatting sqref="Q57">
    <cfRule type="expression" dxfId="242" priority="29">
      <formula>Q57&gt;N57</formula>
    </cfRule>
  </conditionalFormatting>
  <conditionalFormatting sqref="Q58:Q60">
    <cfRule type="expression" dxfId="241" priority="28">
      <formula>Q58&gt;N58</formula>
    </cfRule>
  </conditionalFormatting>
  <conditionalFormatting sqref="Q61">
    <cfRule type="expression" dxfId="240" priority="27">
      <formula>Q61&gt;N61</formula>
    </cfRule>
  </conditionalFormatting>
  <conditionalFormatting sqref="Q62">
    <cfRule type="expression" dxfId="239" priority="26">
      <formula>Q62&gt;N62</formula>
    </cfRule>
  </conditionalFormatting>
  <conditionalFormatting sqref="O67">
    <cfRule type="expression" dxfId="238" priority="24">
      <formula>O67&gt;C65</formula>
    </cfRule>
  </conditionalFormatting>
  <conditionalFormatting sqref="Q65">
    <cfRule type="expression" dxfId="237" priority="23">
      <formula>Q65&gt;N65</formula>
    </cfRule>
  </conditionalFormatting>
  <conditionalFormatting sqref="O71">
    <cfRule type="expression" dxfId="236" priority="22">
      <formula>O71&gt;C68</formula>
    </cfRule>
  </conditionalFormatting>
  <conditionalFormatting sqref="Q68">
    <cfRule type="expression" dxfId="235" priority="21">
      <formula>Q68&gt;N68</formula>
    </cfRule>
  </conditionalFormatting>
  <conditionalFormatting sqref="Q69:Q71">
    <cfRule type="expression" dxfId="234" priority="20">
      <formula>Q69&gt;N69</formula>
    </cfRule>
  </conditionalFormatting>
  <conditionalFormatting sqref="Q72">
    <cfRule type="expression" dxfId="233" priority="14">
      <formula>Q72&gt;N72</formula>
    </cfRule>
  </conditionalFormatting>
  <conditionalFormatting sqref="Q73:Q75">
    <cfRule type="expression" dxfId="232" priority="13">
      <formula>Q73&gt;N73</formula>
    </cfRule>
  </conditionalFormatting>
  <conditionalFormatting sqref="O81">
    <cfRule type="expression" dxfId="231" priority="12">
      <formula>O81&gt;C79</formula>
    </cfRule>
  </conditionalFormatting>
  <conditionalFormatting sqref="Q79">
    <cfRule type="expression" dxfId="230" priority="11">
      <formula>Q79&gt;N79</formula>
    </cfRule>
  </conditionalFormatting>
  <conditionalFormatting sqref="O78">
    <cfRule type="expression" dxfId="229" priority="10">
      <formula>O78&gt;C76</formula>
    </cfRule>
  </conditionalFormatting>
  <conditionalFormatting sqref="Q76">
    <cfRule type="expression" dxfId="228" priority="9">
      <formula>Q76&gt;N76</formula>
    </cfRule>
  </conditionalFormatting>
  <conditionalFormatting sqref="K79:L80 K76:L77 K72:L74 K68:L70 K65:L66 K61:L63 K57:L59 K49:L51">
    <cfRule type="expression" dxfId="227" priority="8">
      <formula>K49="No"</formula>
    </cfRule>
  </conditionalFormatting>
  <conditionalFormatting sqref="O56">
    <cfRule type="expression" dxfId="226" priority="5">
      <formula>O56&gt;C53</formula>
    </cfRule>
  </conditionalFormatting>
  <conditionalFormatting sqref="Q55:Q56">
    <cfRule type="expression" dxfId="225" priority="4">
      <formula>Q55&gt;N55</formula>
    </cfRule>
  </conditionalFormatting>
  <conditionalFormatting sqref="Q53">
    <cfRule type="expression" dxfId="224" priority="3">
      <formula>Q53&gt;N53</formula>
    </cfRule>
  </conditionalFormatting>
  <conditionalFormatting sqref="Q54">
    <cfRule type="expression" dxfId="223" priority="2">
      <formula>Q54&gt;N54</formula>
    </cfRule>
  </conditionalFormatting>
  <conditionalFormatting sqref="K53:L55">
    <cfRule type="expression" dxfId="222" priority="1">
      <formula>K53="No"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 man="1"/>
    <brk id="82"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8CA867-8709-44A5-9DDE-D69B766B3B8D}">
          <x14:formula1>
            <xm:f>Tables!$Q$21:$Q$23</xm:f>
          </x14:formula1>
          <xm:sqref>L79:L80 L57:L59 L61:L63 L65:L66 L68:L70 L72:L74 L76:L77 L49:L51 L53:L55</xm:sqref>
        </x14:dataValidation>
        <x14:dataValidation type="list" allowBlank="1" showInputMessage="1" showErrorMessage="1" xr:uid="{5D34BAF0-9BF8-43F2-BA29-8E9E2D00118C}">
          <x14:formula1>
            <xm:f>Tables!$O$21:$O$23</xm:f>
          </x14:formula1>
          <xm:sqref>K79:K80 K57:K59 K61:K63 K65:K66 K68:K70 K72:K74 K76:K77 K49:K51 K53:K55</xm:sqref>
        </x14:dataValidation>
        <x14:dataValidation type="list" allowBlank="1" showInputMessage="1" showErrorMessage="1" xr:uid="{238B06D8-C296-486B-9DBC-0A7F59AA46CB}">
          <x14:formula1>
            <xm:f>Tables!$C$3:$C$22</xm:f>
          </x14:formula1>
          <xm:sqref>M61:M63 M57:M59 M65:M66 M68:M70 M72:M74 M79:M80 M76:M77 M49:M51 M53:M55</xm:sqref>
        </x14:dataValidation>
        <x14:dataValidation type="list" allowBlank="1" showInputMessage="1" showErrorMessage="1" xr:uid="{820EB664-3BC0-41AB-A727-F818D6302783}">
          <x14:formula1>
            <xm:f>Tables!$Q$2:$Q$7</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149C-6994-4811-931F-1DD3C3E1E902}">
  <sheetPr>
    <tabColor rgb="FFFFFF99"/>
    <pageSetUpPr fitToPage="1"/>
  </sheetPr>
  <dimension ref="A1:Q80"/>
  <sheetViews>
    <sheetView topLeftCell="A25" zoomScaleNormal="100" workbookViewId="0">
      <selection activeCell="G52" sqref="G52:I5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191</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154</v>
      </c>
      <c r="P7" s="467"/>
      <c r="Q7" s="157"/>
    </row>
    <row r="8" spans="1:17" ht="19.95" customHeight="1" x14ac:dyDescent="0.3">
      <c r="A8" s="133"/>
      <c r="B8" s="17" t="s">
        <v>163</v>
      </c>
      <c r="C8" s="474"/>
      <c r="D8" s="474"/>
      <c r="E8" s="474"/>
      <c r="F8" s="474"/>
      <c r="G8" s="19"/>
      <c r="H8" s="19"/>
      <c r="I8" s="19"/>
      <c r="J8" s="19"/>
      <c r="K8" s="18"/>
      <c r="L8" s="18"/>
      <c r="M8" s="18"/>
      <c r="N8" s="17" t="s">
        <v>72</v>
      </c>
      <c r="O8" s="469" t="s">
        <v>155</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Athletics Oversight</v>
      </c>
      <c r="B12" s="201"/>
      <c r="C12" s="201"/>
      <c r="D12" s="187">
        <f>+P50</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+A51</f>
        <v>Activities Oversight</v>
      </c>
      <c r="B13" s="201"/>
      <c r="C13" s="201"/>
      <c r="D13" s="190">
        <f>+P53</f>
        <v>0</v>
      </c>
      <c r="E13" s="191">
        <f>ROUND(+D13*0.08,0)</f>
        <v>0</v>
      </c>
      <c r="F13" s="192">
        <f t="shared" ref="F13:F26" si="0">SUM(D13:E13)</f>
        <v>0</v>
      </c>
      <c r="G13" s="90"/>
      <c r="H13" s="111" t="s">
        <v>148</v>
      </c>
      <c r="I13" s="89"/>
      <c r="J13" s="89"/>
      <c r="K13" s="19"/>
      <c r="L13" s="108"/>
      <c r="M13" s="108"/>
      <c r="N13" s="108"/>
      <c r="O13" s="108"/>
      <c r="P13" s="109"/>
      <c r="Q13" s="110"/>
    </row>
    <row r="14" spans="1:17" ht="15" customHeight="1" x14ac:dyDescent="0.25">
      <c r="A14" s="200"/>
      <c r="B14" s="201"/>
      <c r="C14" s="201"/>
      <c r="D14" s="205">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c r="B15" s="201"/>
      <c r="C15" s="201"/>
      <c r="D15" s="205">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205">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205">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205">
        <v>0</v>
      </c>
      <c r="E18" s="191">
        <f t="shared" si="1"/>
        <v>0</v>
      </c>
      <c r="F18" s="192">
        <f t="shared" si="0"/>
        <v>0</v>
      </c>
      <c r="G18" s="90"/>
      <c r="H18" s="19"/>
      <c r="I18" s="89"/>
      <c r="J18" s="89"/>
      <c r="K18" s="19"/>
      <c r="L18" s="108"/>
      <c r="M18" s="108"/>
      <c r="N18" s="108"/>
      <c r="O18" s="108"/>
      <c r="P18" s="109"/>
      <c r="Q18" s="113"/>
    </row>
    <row r="19" spans="1:17" ht="15" customHeight="1" x14ac:dyDescent="0.25">
      <c r="A19" s="200"/>
      <c r="B19" s="201"/>
      <c r="C19" s="201"/>
      <c r="D19" s="205">
        <v>0</v>
      </c>
      <c r="E19" s="191">
        <f t="shared" si="1"/>
        <v>0</v>
      </c>
      <c r="F19" s="192">
        <f t="shared" si="0"/>
        <v>0</v>
      </c>
      <c r="G19" s="90"/>
      <c r="H19" s="95" t="s">
        <v>143</v>
      </c>
      <c r="I19" s="114"/>
      <c r="J19" s="114"/>
      <c r="K19" s="11"/>
      <c r="L19" s="116"/>
      <c r="M19" s="116"/>
      <c r="N19" s="116"/>
      <c r="O19" s="116"/>
      <c r="P19" s="117"/>
      <c r="Q19" s="94"/>
    </row>
    <row r="20" spans="1:17" ht="15" customHeight="1" x14ac:dyDescent="0.25">
      <c r="A20" s="200"/>
      <c r="B20" s="201"/>
      <c r="C20" s="201"/>
      <c r="D20" s="205">
        <v>0</v>
      </c>
      <c r="E20" s="191">
        <f t="shared" si="1"/>
        <v>0</v>
      </c>
      <c r="F20" s="192">
        <f t="shared" si="0"/>
        <v>0</v>
      </c>
      <c r="G20" s="90"/>
      <c r="H20" s="118" t="s">
        <v>202</v>
      </c>
      <c r="I20" s="89"/>
      <c r="J20" s="89"/>
      <c r="K20" s="19"/>
      <c r="L20" s="119"/>
      <c r="M20" s="119"/>
      <c r="N20" s="119"/>
      <c r="O20" s="119"/>
      <c r="P20" s="109"/>
      <c r="Q20" s="113"/>
    </row>
    <row r="21" spans="1:17" ht="15" customHeight="1" x14ac:dyDescent="0.25">
      <c r="A21" s="200"/>
      <c r="B21" s="201"/>
      <c r="C21" s="201"/>
      <c r="D21" s="205">
        <v>0</v>
      </c>
      <c r="E21" s="191">
        <f t="shared" si="1"/>
        <v>0</v>
      </c>
      <c r="F21" s="192">
        <f t="shared" si="0"/>
        <v>0</v>
      </c>
      <c r="G21" s="90"/>
      <c r="H21" s="118" t="s">
        <v>169</v>
      </c>
      <c r="I21" s="89"/>
      <c r="J21" s="89"/>
      <c r="K21" s="19"/>
      <c r="L21" s="119"/>
      <c r="M21" s="119"/>
      <c r="N21" s="119"/>
      <c r="O21" s="119"/>
      <c r="P21" s="109"/>
      <c r="Q21" s="113"/>
    </row>
    <row r="22" spans="1:17" ht="15" customHeight="1" thickBot="1" x14ac:dyDescent="0.3">
      <c r="A22" s="200"/>
      <c r="B22" s="201"/>
      <c r="C22" s="201"/>
      <c r="D22" s="205">
        <v>0</v>
      </c>
      <c r="E22" s="191">
        <f t="shared" si="1"/>
        <v>0</v>
      </c>
      <c r="F22" s="192">
        <f t="shared" si="0"/>
        <v>0</v>
      </c>
      <c r="G22" s="90"/>
      <c r="H22" s="111"/>
      <c r="I22" s="19"/>
      <c r="J22" s="19"/>
      <c r="K22" s="19"/>
      <c r="L22" s="119"/>
      <c r="M22" s="119"/>
      <c r="N22" s="119"/>
      <c r="O22" s="119"/>
      <c r="P22" s="124"/>
      <c r="Q22" s="125"/>
    </row>
    <row r="23" spans="1:17" ht="15" customHeight="1" x14ac:dyDescent="0.25">
      <c r="A23" s="200"/>
      <c r="B23" s="201"/>
      <c r="C23" s="201"/>
      <c r="D23" s="205">
        <v>0</v>
      </c>
      <c r="E23" s="191">
        <f t="shared" si="1"/>
        <v>0</v>
      </c>
      <c r="F23" s="192">
        <f t="shared" si="0"/>
        <v>0</v>
      </c>
      <c r="G23" s="90"/>
      <c r="H23" s="23" t="s">
        <v>69</v>
      </c>
      <c r="I23" s="25"/>
      <c r="J23" s="28"/>
      <c r="K23" s="28"/>
      <c r="L23" s="28"/>
      <c r="M23" s="11"/>
      <c r="N23" s="11"/>
      <c r="O23" s="11"/>
      <c r="P23" s="11"/>
      <c r="Q23" s="132"/>
    </row>
    <row r="24" spans="1:17" ht="15" customHeight="1" x14ac:dyDescent="0.25">
      <c r="A24" s="200"/>
      <c r="B24" s="201"/>
      <c r="C24" s="201"/>
      <c r="D24" s="205">
        <v>0</v>
      </c>
      <c r="E24" s="191">
        <f t="shared" si="1"/>
        <v>0</v>
      </c>
      <c r="F24" s="192">
        <f t="shared" si="0"/>
        <v>0</v>
      </c>
      <c r="G24" s="90"/>
      <c r="H24" s="77"/>
      <c r="I24" s="27" t="s">
        <v>104</v>
      </c>
      <c r="J24" s="24"/>
      <c r="K24" s="24"/>
      <c r="L24" s="24"/>
      <c r="M24" s="19"/>
      <c r="N24" s="19"/>
      <c r="O24" s="19"/>
      <c r="P24" s="19"/>
      <c r="Q24" s="29"/>
    </row>
    <row r="25" spans="1:17" ht="15" customHeight="1" thickBot="1" x14ac:dyDescent="0.3">
      <c r="A25" s="200"/>
      <c r="B25" s="201"/>
      <c r="C25" s="201"/>
      <c r="D25" s="279">
        <v>0</v>
      </c>
      <c r="E25" s="280">
        <f t="shared" si="1"/>
        <v>0</v>
      </c>
      <c r="F25" s="281">
        <v>0</v>
      </c>
      <c r="G25" s="90"/>
      <c r="H25" s="26" t="s">
        <v>70</v>
      </c>
      <c r="I25" s="27" t="s">
        <v>105</v>
      </c>
      <c r="J25" s="19"/>
      <c r="K25" s="19"/>
      <c r="L25" s="19"/>
      <c r="M25" s="19"/>
      <c r="N25" s="19"/>
      <c r="O25" s="19"/>
      <c r="P25" s="19"/>
      <c r="Q25" s="29"/>
    </row>
    <row r="26" spans="1:17" ht="19.95" customHeight="1" thickBot="1" x14ac:dyDescent="0.35">
      <c r="A26" s="202"/>
      <c r="B26" s="203"/>
      <c r="C26" s="204" t="s">
        <v>216</v>
      </c>
      <c r="D26" s="276">
        <f>SUM(D12:D25)</f>
        <v>0</v>
      </c>
      <c r="E26" s="277">
        <f t="shared" ref="E26" si="2">+D26*0.08</f>
        <v>0</v>
      </c>
      <c r="F26" s="278">
        <f t="shared" si="0"/>
        <v>0</v>
      </c>
      <c r="G26" s="90"/>
      <c r="H26" s="163" t="s">
        <v>71</v>
      </c>
      <c r="I26" s="164" t="s">
        <v>106</v>
      </c>
      <c r="J26" s="165"/>
      <c r="K26" s="19"/>
      <c r="L26" s="19"/>
      <c r="M26" s="19"/>
      <c r="N26" s="19"/>
      <c r="O26" s="19"/>
      <c r="P26" s="19"/>
      <c r="Q26" s="29"/>
    </row>
    <row r="27" spans="1:17" ht="13.8" customHeight="1" thickBot="1" x14ac:dyDescent="0.3">
      <c r="A27" s="120"/>
      <c r="B27" s="121"/>
      <c r="C27" s="121"/>
      <c r="D27" s="121"/>
      <c r="E27" s="121"/>
      <c r="F27" s="121"/>
      <c r="G27" s="35"/>
      <c r="H27" s="122"/>
      <c r="I27" s="123"/>
      <c r="J27" s="34"/>
      <c r="K27" s="34"/>
      <c r="L27" s="34"/>
      <c r="M27" s="34"/>
      <c r="N27" s="34"/>
      <c r="O27" s="34"/>
      <c r="P27" s="34"/>
      <c r="Q27" s="35"/>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452" t="s">
        <v>55</v>
      </c>
      <c r="B49" s="453"/>
      <c r="C49" s="475">
        <f>+'HS - Positions and Funding'!B6</f>
        <v>0</v>
      </c>
      <c r="D49" s="519" t="s">
        <v>52</v>
      </c>
      <c r="E49" s="520"/>
      <c r="F49" s="399" t="str">
        <f>+'HS - Positions and Funding'!$E$6</f>
        <v>A</v>
      </c>
      <c r="G49" s="530" t="s">
        <v>280</v>
      </c>
      <c r="H49" s="531"/>
      <c r="I49" s="531"/>
      <c r="J49" s="531"/>
      <c r="K49" s="531"/>
      <c r="L49" s="531"/>
      <c r="M49" s="532"/>
      <c r="N49" s="171">
        <f>IF(M49&gt;0,HLOOKUP(F49,Tables!$D$3:$M$22,M49+1,0),0)</f>
        <v>0</v>
      </c>
      <c r="O49" s="172">
        <v>0</v>
      </c>
      <c r="P49" s="172">
        <v>0</v>
      </c>
      <c r="Q49" s="173">
        <f>SUM(O49:P49)</f>
        <v>0</v>
      </c>
    </row>
    <row r="50" spans="1:17" s="142" customFormat="1" ht="19.95" customHeight="1" thickBot="1" x14ac:dyDescent="0.35">
      <c r="A50" s="456"/>
      <c r="B50" s="457"/>
      <c r="C50" s="477"/>
      <c r="D50" s="447" t="str">
        <f>CONCATENATE(A49," Totals")</f>
        <v>Athletics Oversight Totals</v>
      </c>
      <c r="E50" s="448"/>
      <c r="F50" s="448"/>
      <c r="G50" s="524"/>
      <c r="H50" s="524"/>
      <c r="I50" s="524"/>
      <c r="J50" s="524"/>
      <c r="K50" s="524"/>
      <c r="L50" s="524"/>
      <c r="M50" s="529"/>
      <c r="N50" s="180">
        <f>SUM(N49:N49)</f>
        <v>0</v>
      </c>
      <c r="O50" s="180">
        <f>SUM(O49:O49)</f>
        <v>0</v>
      </c>
      <c r="P50" s="180">
        <f>SUM(P49:P49)</f>
        <v>0</v>
      </c>
      <c r="Q50" s="181">
        <f t="shared" ref="Q50" si="3">SUM(O50:P50)</f>
        <v>0</v>
      </c>
    </row>
    <row r="51" spans="1:17" ht="19.95" customHeight="1" x14ac:dyDescent="0.25">
      <c r="A51" s="452" t="s">
        <v>54</v>
      </c>
      <c r="B51" s="453"/>
      <c r="C51" s="475">
        <f>+'HS - Positions and Funding'!B8</f>
        <v>0</v>
      </c>
      <c r="D51" s="519" t="s">
        <v>52</v>
      </c>
      <c r="E51" s="520"/>
      <c r="F51" s="399" t="str">
        <f>+'HS - Positions and Funding'!$E$8</f>
        <v>A</v>
      </c>
      <c r="G51" s="451"/>
      <c r="H51" s="451"/>
      <c r="I51" s="451"/>
      <c r="J51" s="169"/>
      <c r="K51" s="170"/>
      <c r="L51" s="170"/>
      <c r="M51" s="169"/>
      <c r="N51" s="171">
        <f>IF(M51&gt;0,HLOOKUP(F51,Tables!$D$3:$M$22,M51+1,0),0)</f>
        <v>0</v>
      </c>
      <c r="O51" s="172">
        <v>0</v>
      </c>
      <c r="P51" s="172">
        <v>0</v>
      </c>
      <c r="Q51" s="173">
        <f>SUM(O51:P51)</f>
        <v>0</v>
      </c>
    </row>
    <row r="52" spans="1:17" ht="19.95" customHeight="1" x14ac:dyDescent="0.25">
      <c r="A52" s="527"/>
      <c r="B52" s="528"/>
      <c r="C52" s="509"/>
      <c r="D52" s="445" t="s">
        <v>53</v>
      </c>
      <c r="E52" s="445"/>
      <c r="F52" s="398" t="str">
        <f>+'HS - Positions and Funding'!$E$9</f>
        <v>E</v>
      </c>
      <c r="G52" s="450"/>
      <c r="H52" s="450"/>
      <c r="I52" s="450"/>
      <c r="J52" s="175"/>
      <c r="K52" s="175"/>
      <c r="L52" s="175"/>
      <c r="M52" s="175"/>
      <c r="N52" s="176">
        <f>IF(M52&gt;0,HLOOKUP(F52,Tables!$D$3:$M$22,M52+1,0),0)</f>
        <v>0</v>
      </c>
      <c r="O52" s="177">
        <v>0</v>
      </c>
      <c r="P52" s="177">
        <v>0</v>
      </c>
      <c r="Q52" s="178">
        <f t="shared" ref="Q52" si="4">SUM(O52:P52)</f>
        <v>0</v>
      </c>
    </row>
    <row r="53" spans="1:17" s="143" customFormat="1" ht="19.95" customHeight="1" thickBot="1" x14ac:dyDescent="0.35">
      <c r="A53" s="456"/>
      <c r="B53" s="457"/>
      <c r="C53" s="477"/>
      <c r="D53" s="447" t="str">
        <f>CONCATENATE(A51," Totals")</f>
        <v>Activities Oversight Totals</v>
      </c>
      <c r="E53" s="448"/>
      <c r="F53" s="448"/>
      <c r="G53" s="448"/>
      <c r="H53" s="448"/>
      <c r="I53" s="448"/>
      <c r="J53" s="448"/>
      <c r="K53" s="448"/>
      <c r="L53" s="448"/>
      <c r="M53" s="449"/>
      <c r="N53" s="180">
        <f>SUM(N51:N51)</f>
        <v>0</v>
      </c>
      <c r="O53" s="180">
        <f>SUM(O51:O51)</f>
        <v>0</v>
      </c>
      <c r="P53" s="180">
        <f>SUM(P51:P51)</f>
        <v>0</v>
      </c>
      <c r="Q53" s="181">
        <f t="shared" ref="Q53" si="5">SUM(O53:P53)</f>
        <v>0</v>
      </c>
    </row>
    <row r="54" spans="1:17" s="142" customFormat="1" ht="19.95" customHeight="1" thickBot="1" x14ac:dyDescent="0.35">
      <c r="A54" s="182"/>
      <c r="B54" s="183"/>
      <c r="C54" s="183"/>
      <c r="D54" s="183"/>
      <c r="E54" s="183"/>
      <c r="F54" s="197"/>
      <c r="G54" s="183"/>
      <c r="H54" s="183"/>
      <c r="I54" s="183"/>
      <c r="J54" s="183"/>
      <c r="K54" s="183"/>
      <c r="L54" s="183"/>
      <c r="M54" s="184" t="s">
        <v>134</v>
      </c>
      <c r="N54" s="185">
        <f>+N50+N53</f>
        <v>0</v>
      </c>
      <c r="O54" s="185">
        <f>+O50+O53</f>
        <v>0</v>
      </c>
      <c r="P54" s="185">
        <f>+P50+P53</f>
        <v>0</v>
      </c>
      <c r="Q54" s="186">
        <f>+Q50+Q53</f>
        <v>0</v>
      </c>
    </row>
    <row r="55" spans="1:17" ht="12.75" customHeight="1" x14ac:dyDescent="0.25">
      <c r="A55" s="152" t="s">
        <v>178</v>
      </c>
      <c r="B55" s="11"/>
      <c r="C55" s="11"/>
      <c r="D55" s="11"/>
      <c r="E55" s="11"/>
      <c r="F55" s="11"/>
      <c r="G55" s="11"/>
      <c r="H55" s="11"/>
      <c r="I55" s="11"/>
      <c r="J55" s="11"/>
      <c r="K55" s="11"/>
      <c r="L55" s="11"/>
      <c r="M55" s="11"/>
      <c r="N55" s="11"/>
      <c r="O55" s="11"/>
      <c r="P55" s="11"/>
      <c r="Q55" s="132"/>
    </row>
    <row r="56" spans="1:17" ht="12.75" customHeight="1" x14ac:dyDescent="0.25">
      <c r="A56" s="153" t="s">
        <v>170</v>
      </c>
      <c r="B56" s="19"/>
      <c r="C56" s="19"/>
      <c r="D56" s="19"/>
      <c r="E56" s="19"/>
      <c r="F56" s="19"/>
      <c r="G56" s="19"/>
      <c r="H56" s="19"/>
      <c r="I56" s="19"/>
      <c r="J56" s="19"/>
      <c r="K56" s="19"/>
      <c r="L56" s="19"/>
      <c r="M56" s="19"/>
      <c r="N56" s="19"/>
      <c r="O56" s="19"/>
      <c r="P56" s="19"/>
      <c r="Q56" s="29"/>
    </row>
    <row r="57" spans="1:17" ht="12.75" customHeight="1" x14ac:dyDescent="0.25">
      <c r="A57" s="154" t="s">
        <v>179</v>
      </c>
      <c r="B57" s="19"/>
      <c r="C57" s="19"/>
      <c r="D57" s="19"/>
      <c r="E57" s="19"/>
      <c r="F57" s="19"/>
      <c r="G57" s="19"/>
      <c r="H57" s="19"/>
      <c r="I57" s="19"/>
      <c r="J57" s="19"/>
      <c r="K57" s="19"/>
      <c r="L57" s="19"/>
      <c r="M57" s="19"/>
      <c r="N57" s="19"/>
      <c r="O57" s="19"/>
      <c r="P57" s="19"/>
      <c r="Q57" s="29"/>
    </row>
    <row r="58" spans="1:17" ht="12.75" customHeight="1" x14ac:dyDescent="0.25">
      <c r="A58" s="154" t="s">
        <v>207</v>
      </c>
      <c r="B58" s="19"/>
      <c r="C58" s="19"/>
      <c r="D58" s="19"/>
      <c r="E58" s="19"/>
      <c r="F58" s="19"/>
      <c r="G58" s="19"/>
      <c r="H58" s="19"/>
      <c r="I58" s="19"/>
      <c r="J58" s="19"/>
      <c r="K58" s="19"/>
      <c r="L58" s="19"/>
      <c r="M58" s="19"/>
      <c r="N58" s="19"/>
      <c r="O58" s="19"/>
      <c r="P58" s="19"/>
      <c r="Q58" s="29"/>
    </row>
    <row r="59" spans="1:17" ht="12.75" customHeight="1" x14ac:dyDescent="0.25">
      <c r="A59" s="154" t="s">
        <v>208</v>
      </c>
      <c r="B59" s="19"/>
      <c r="C59" s="19"/>
      <c r="D59" s="19"/>
      <c r="E59" s="19"/>
      <c r="F59" s="19"/>
      <c r="G59" s="19"/>
      <c r="H59" s="19"/>
      <c r="I59" s="19"/>
      <c r="J59" s="19"/>
      <c r="K59" s="19"/>
      <c r="L59" s="19"/>
      <c r="M59" s="19"/>
      <c r="N59" s="19"/>
      <c r="O59" s="19"/>
      <c r="P59" s="19"/>
      <c r="Q59" s="29"/>
    </row>
    <row r="60" spans="1:17" x14ac:dyDescent="0.25">
      <c r="A60" s="153" t="s">
        <v>171</v>
      </c>
      <c r="B60" s="19"/>
      <c r="C60" s="19"/>
      <c r="D60" s="19"/>
      <c r="E60" s="19"/>
      <c r="F60" s="19"/>
      <c r="G60" s="19"/>
      <c r="H60" s="19"/>
      <c r="I60" s="19"/>
      <c r="J60" s="19"/>
      <c r="K60" s="19"/>
      <c r="L60" s="19"/>
      <c r="M60" s="19"/>
      <c r="N60" s="19"/>
      <c r="O60" s="19"/>
      <c r="P60" s="19"/>
      <c r="Q60" s="29"/>
    </row>
    <row r="61" spans="1:17" x14ac:dyDescent="0.25">
      <c r="A61" s="154" t="s">
        <v>182</v>
      </c>
      <c r="B61" s="19"/>
      <c r="C61" s="19"/>
      <c r="D61" s="19"/>
      <c r="E61" s="19"/>
      <c r="F61" s="19"/>
      <c r="G61" s="19"/>
      <c r="H61" s="19"/>
      <c r="I61" s="19"/>
      <c r="J61" s="19"/>
      <c r="K61" s="19"/>
      <c r="L61" s="19"/>
      <c r="M61" s="19"/>
      <c r="N61" s="19"/>
      <c r="O61" s="19"/>
      <c r="P61" s="19"/>
      <c r="Q61" s="29"/>
    </row>
    <row r="62" spans="1:17" x14ac:dyDescent="0.25">
      <c r="A62" s="155" t="s">
        <v>177</v>
      </c>
      <c r="B62" s="19"/>
      <c r="C62" s="19"/>
      <c r="D62" s="19"/>
      <c r="E62" s="19"/>
      <c r="F62" s="19"/>
      <c r="G62" s="19"/>
      <c r="H62" s="19"/>
      <c r="I62" s="19"/>
      <c r="J62" s="19"/>
      <c r="K62" s="19"/>
      <c r="L62" s="19"/>
      <c r="M62" s="19"/>
      <c r="N62" s="19"/>
      <c r="O62" s="19"/>
      <c r="P62" s="19"/>
      <c r="Q62" s="29"/>
    </row>
    <row r="63" spans="1:17" x14ac:dyDescent="0.25">
      <c r="A63" s="155" t="s">
        <v>209</v>
      </c>
      <c r="B63" s="19"/>
      <c r="C63" s="19"/>
      <c r="D63" s="19"/>
      <c r="E63" s="19"/>
      <c r="F63" s="19"/>
      <c r="G63" s="19"/>
      <c r="H63" s="19"/>
      <c r="I63" s="19"/>
      <c r="J63" s="19"/>
      <c r="K63" s="19"/>
      <c r="L63" s="19"/>
      <c r="M63" s="19"/>
      <c r="N63" s="19"/>
      <c r="O63" s="19"/>
      <c r="P63" s="19"/>
      <c r="Q63" s="29"/>
    </row>
    <row r="64" spans="1:17" x14ac:dyDescent="0.25">
      <c r="A64" s="156" t="s">
        <v>172</v>
      </c>
      <c r="B64" s="19"/>
      <c r="C64" s="19"/>
      <c r="D64" s="19"/>
      <c r="E64" s="19"/>
      <c r="F64" s="19"/>
      <c r="G64" s="19"/>
      <c r="H64" s="19"/>
      <c r="I64" s="19"/>
      <c r="J64" s="19"/>
      <c r="K64" s="19"/>
      <c r="L64" s="19"/>
      <c r="M64" s="19"/>
      <c r="N64" s="19"/>
      <c r="O64" s="19"/>
      <c r="P64" s="19"/>
      <c r="Q64" s="29"/>
    </row>
    <row r="65" spans="1:17" x14ac:dyDescent="0.25">
      <c r="A65" s="155" t="s">
        <v>211</v>
      </c>
      <c r="B65" s="19"/>
      <c r="C65" s="19"/>
      <c r="D65" s="19"/>
      <c r="E65" s="19"/>
      <c r="F65" s="19"/>
      <c r="G65" s="19"/>
      <c r="H65" s="19"/>
      <c r="I65" s="19"/>
      <c r="J65" s="19"/>
      <c r="K65" s="19"/>
      <c r="L65" s="19"/>
      <c r="M65" s="19"/>
      <c r="N65" s="19"/>
      <c r="O65" s="19"/>
      <c r="P65" s="19"/>
      <c r="Q65" s="29"/>
    </row>
    <row r="66" spans="1:17" x14ac:dyDescent="0.25">
      <c r="A66" s="155" t="s">
        <v>210</v>
      </c>
      <c r="B66" s="19"/>
      <c r="C66" s="19"/>
      <c r="D66" s="19"/>
      <c r="E66" s="19"/>
      <c r="F66" s="19"/>
      <c r="G66" s="19"/>
      <c r="H66" s="19"/>
      <c r="I66" s="19"/>
      <c r="J66" s="19"/>
      <c r="K66" s="19"/>
      <c r="L66" s="19"/>
      <c r="M66" s="19"/>
      <c r="N66" s="19"/>
      <c r="O66" s="19"/>
      <c r="P66" s="19"/>
      <c r="Q66" s="29"/>
    </row>
    <row r="67" spans="1:17" x14ac:dyDescent="0.25">
      <c r="A67" s="156" t="s">
        <v>173</v>
      </c>
      <c r="B67" s="19"/>
      <c r="C67" s="19"/>
      <c r="D67" s="19"/>
      <c r="E67" s="19"/>
      <c r="F67" s="19"/>
      <c r="G67" s="19"/>
      <c r="H67" s="19"/>
      <c r="I67" s="19"/>
      <c r="J67" s="19"/>
      <c r="K67" s="19"/>
      <c r="L67" s="19"/>
      <c r="M67" s="19"/>
      <c r="N67" s="19"/>
      <c r="O67" s="19"/>
      <c r="P67" s="19"/>
      <c r="Q67" s="29"/>
    </row>
    <row r="68" spans="1:17" x14ac:dyDescent="0.25">
      <c r="A68" s="155" t="s">
        <v>181</v>
      </c>
      <c r="B68" s="19"/>
      <c r="C68" s="19"/>
      <c r="D68" s="19"/>
      <c r="E68" s="19"/>
      <c r="F68" s="19"/>
      <c r="G68" s="19"/>
      <c r="H68" s="19"/>
      <c r="I68" s="19"/>
      <c r="J68" s="19"/>
      <c r="K68" s="19"/>
      <c r="L68" s="19"/>
      <c r="M68" s="19"/>
      <c r="N68" s="19"/>
      <c r="O68" s="19"/>
      <c r="P68" s="19"/>
      <c r="Q68" s="29"/>
    </row>
    <row r="69" spans="1:17" x14ac:dyDescent="0.25">
      <c r="A69" s="155" t="s">
        <v>176</v>
      </c>
      <c r="B69" s="19"/>
      <c r="C69" s="19"/>
      <c r="D69" s="19"/>
      <c r="E69" s="19"/>
      <c r="F69" s="19"/>
      <c r="G69" s="19"/>
      <c r="H69" s="19"/>
      <c r="I69" s="19"/>
      <c r="J69" s="19"/>
      <c r="K69" s="19"/>
      <c r="L69" s="19"/>
      <c r="M69" s="19"/>
      <c r="N69" s="19"/>
      <c r="O69" s="19"/>
      <c r="P69" s="19"/>
      <c r="Q69" s="29"/>
    </row>
    <row r="70" spans="1:17" x14ac:dyDescent="0.25">
      <c r="A70" s="155" t="s">
        <v>212</v>
      </c>
      <c r="B70" s="19"/>
      <c r="C70" s="19"/>
      <c r="D70" s="19"/>
      <c r="E70" s="19"/>
      <c r="F70" s="19"/>
      <c r="G70" s="19"/>
      <c r="H70" s="19"/>
      <c r="I70" s="19"/>
      <c r="J70" s="19"/>
      <c r="K70" s="19"/>
      <c r="L70" s="19"/>
      <c r="M70" s="19"/>
      <c r="N70" s="19"/>
      <c r="O70" s="19"/>
      <c r="P70" s="19"/>
      <c r="Q70" s="29"/>
    </row>
    <row r="71" spans="1:17" x14ac:dyDescent="0.25">
      <c r="A71" s="156" t="s">
        <v>174</v>
      </c>
      <c r="B71" s="19"/>
      <c r="C71" s="19"/>
      <c r="D71" s="19"/>
      <c r="E71" s="19"/>
      <c r="F71" s="19"/>
      <c r="G71" s="19"/>
      <c r="H71" s="19"/>
      <c r="I71" s="19"/>
      <c r="J71" s="19"/>
      <c r="K71" s="19"/>
      <c r="L71" s="19"/>
      <c r="M71" s="19"/>
      <c r="N71" s="19"/>
      <c r="O71" s="19"/>
      <c r="P71" s="19"/>
      <c r="Q71" s="29"/>
    </row>
    <row r="72" spans="1:17" x14ac:dyDescent="0.25">
      <c r="A72" s="155" t="s">
        <v>213</v>
      </c>
      <c r="B72" s="19"/>
      <c r="C72" s="19"/>
      <c r="D72" s="19"/>
      <c r="E72" s="19"/>
      <c r="F72" s="19"/>
      <c r="G72" s="19"/>
      <c r="H72" s="19"/>
      <c r="I72" s="19"/>
      <c r="J72" s="19"/>
      <c r="K72" s="19"/>
      <c r="L72" s="19"/>
      <c r="M72" s="19"/>
      <c r="N72" s="19"/>
      <c r="O72" s="19"/>
      <c r="P72" s="19"/>
      <c r="Q72" s="29"/>
    </row>
    <row r="73" spans="1:17" x14ac:dyDescent="0.25">
      <c r="A73" s="155" t="s">
        <v>214</v>
      </c>
      <c r="B73" s="19"/>
      <c r="C73" s="19"/>
      <c r="D73" s="19"/>
      <c r="E73" s="19"/>
      <c r="F73" s="19"/>
      <c r="G73" s="19"/>
      <c r="H73" s="19"/>
      <c r="I73" s="19"/>
      <c r="J73" s="19"/>
      <c r="K73" s="19"/>
      <c r="L73" s="19"/>
      <c r="M73" s="19"/>
      <c r="N73" s="19"/>
      <c r="O73" s="19"/>
      <c r="P73" s="19"/>
      <c r="Q73" s="29"/>
    </row>
    <row r="74" spans="1:17" x14ac:dyDescent="0.25">
      <c r="A74" s="156" t="s">
        <v>175</v>
      </c>
      <c r="B74" s="19"/>
      <c r="C74" s="19"/>
      <c r="D74" s="19"/>
      <c r="E74" s="19"/>
      <c r="F74" s="19"/>
      <c r="G74" s="19"/>
      <c r="H74" s="19"/>
      <c r="I74" s="19"/>
      <c r="J74" s="19"/>
      <c r="K74" s="19"/>
      <c r="L74" s="19"/>
      <c r="M74" s="19"/>
      <c r="N74" s="19"/>
      <c r="O74" s="19"/>
      <c r="P74" s="19"/>
      <c r="Q74" s="29"/>
    </row>
    <row r="75" spans="1:17" x14ac:dyDescent="0.25">
      <c r="A75" s="155" t="s">
        <v>213</v>
      </c>
      <c r="B75" s="19"/>
      <c r="C75" s="19"/>
      <c r="D75" s="19"/>
      <c r="E75" s="19"/>
      <c r="F75" s="19"/>
      <c r="G75" s="19"/>
      <c r="H75" s="19"/>
      <c r="I75" s="19"/>
      <c r="J75" s="19"/>
      <c r="K75" s="19"/>
      <c r="L75" s="19"/>
      <c r="M75" s="19"/>
      <c r="N75" s="19"/>
      <c r="O75" s="19"/>
      <c r="P75" s="19"/>
      <c r="Q75" s="29"/>
    </row>
    <row r="76" spans="1:17" x14ac:dyDescent="0.25">
      <c r="A76" s="155" t="s">
        <v>190</v>
      </c>
      <c r="B76" s="19"/>
      <c r="C76" s="19"/>
      <c r="D76" s="19"/>
      <c r="E76" s="19"/>
      <c r="F76" s="19"/>
      <c r="G76" s="19"/>
      <c r="H76" s="19"/>
      <c r="I76" s="19"/>
      <c r="J76" s="19"/>
      <c r="K76" s="19"/>
      <c r="L76" s="19"/>
      <c r="M76" s="19"/>
      <c r="N76" s="19"/>
      <c r="O76" s="19"/>
      <c r="P76" s="19"/>
      <c r="Q76" s="29"/>
    </row>
    <row r="77" spans="1:17" x14ac:dyDescent="0.25">
      <c r="A77" s="156" t="s">
        <v>180</v>
      </c>
      <c r="B77" s="19"/>
      <c r="C77" s="19"/>
      <c r="D77" s="19"/>
      <c r="E77" s="19"/>
      <c r="F77" s="19"/>
      <c r="G77" s="19"/>
      <c r="H77" s="19"/>
      <c r="I77" s="19"/>
      <c r="J77" s="19"/>
      <c r="K77" s="19"/>
      <c r="L77" s="19"/>
      <c r="M77" s="19"/>
      <c r="N77" s="19"/>
      <c r="O77" s="19"/>
      <c r="P77" s="19"/>
      <c r="Q77" s="29"/>
    </row>
    <row r="78" spans="1:17" x14ac:dyDescent="0.25">
      <c r="A78" s="155" t="s">
        <v>215</v>
      </c>
      <c r="B78" s="19"/>
      <c r="C78" s="19"/>
      <c r="D78" s="19"/>
      <c r="E78" s="19"/>
      <c r="F78" s="19"/>
      <c r="G78" s="19"/>
      <c r="H78" s="19"/>
      <c r="I78" s="19"/>
      <c r="J78" s="19"/>
      <c r="K78" s="19"/>
      <c r="L78" s="19"/>
      <c r="M78" s="19"/>
      <c r="N78" s="19"/>
      <c r="O78" s="19"/>
      <c r="P78" s="19"/>
      <c r="Q78" s="29"/>
    </row>
    <row r="79" spans="1:17" x14ac:dyDescent="0.25">
      <c r="A79" s="155" t="s">
        <v>183</v>
      </c>
      <c r="B79" s="19"/>
      <c r="C79" s="19"/>
      <c r="D79" s="19"/>
      <c r="E79" s="19"/>
      <c r="F79" s="19"/>
      <c r="G79" s="19"/>
      <c r="H79" s="19"/>
      <c r="I79" s="19"/>
      <c r="J79" s="19"/>
      <c r="K79" s="19"/>
      <c r="L79" s="19"/>
      <c r="M79" s="19"/>
      <c r="N79" s="19"/>
      <c r="O79" s="19"/>
      <c r="P79" s="19"/>
      <c r="Q79" s="29"/>
    </row>
    <row r="80" spans="1:17" ht="13.8" thickBot="1" x14ac:dyDescent="0.3">
      <c r="A80" s="33"/>
      <c r="B80" s="34"/>
      <c r="C80" s="34"/>
      <c r="D80" s="34"/>
      <c r="E80" s="34"/>
      <c r="F80" s="34"/>
      <c r="G80" s="34"/>
      <c r="H80" s="34"/>
      <c r="I80" s="34"/>
      <c r="J80" s="34"/>
      <c r="K80" s="34"/>
      <c r="L80" s="34"/>
      <c r="M80" s="34"/>
      <c r="N80" s="34"/>
      <c r="O80" s="34"/>
      <c r="P80" s="34"/>
      <c r="Q80" s="35"/>
    </row>
  </sheetData>
  <sheetProtection algorithmName="SHA-512" hashValue="BXk3zIauZj7VPYj/5OvQEgmK+dSga98BXFivk3m93CoX5SYJCgWKeVO873/UNVFlBiIgIdkne5suEqwoCx00OA==" saltValue="xXrjjTKGfjRl3oiP92y19w==" spinCount="100000" sheet="1" selectLockedCells="1"/>
  <mergeCells count="37">
    <mergeCell ref="C8:F8"/>
    <mergeCell ref="O8:P8"/>
    <mergeCell ref="A2:Q2"/>
    <mergeCell ref="A3:Q3"/>
    <mergeCell ref="A5:Q5"/>
    <mergeCell ref="C7:F7"/>
    <mergeCell ref="O7:P7"/>
    <mergeCell ref="A48:B48"/>
    <mergeCell ref="G48:I48"/>
    <mergeCell ref="A49:B50"/>
    <mergeCell ref="C49:C50"/>
    <mergeCell ref="D49:E49"/>
    <mergeCell ref="D50:M50"/>
    <mergeCell ref="G49:M49"/>
    <mergeCell ref="A51:B53"/>
    <mergeCell ref="C51:C53"/>
    <mergeCell ref="D51:E51"/>
    <mergeCell ref="G51:I51"/>
    <mergeCell ref="D53:M53"/>
    <mergeCell ref="D52:E52"/>
    <mergeCell ref="G52:I52"/>
    <mergeCell ref="A29:Q32"/>
    <mergeCell ref="A34:Q37"/>
    <mergeCell ref="A39:Q39"/>
    <mergeCell ref="A40:E40"/>
    <mergeCell ref="G40:H40"/>
    <mergeCell ref="J40:N40"/>
    <mergeCell ref="P40:Q40"/>
    <mergeCell ref="A47:Q47"/>
    <mergeCell ref="A42:E42"/>
    <mergeCell ref="G42:H42"/>
    <mergeCell ref="J42:N42"/>
    <mergeCell ref="P42:Q42"/>
    <mergeCell ref="A44:E44"/>
    <mergeCell ref="G44:H44"/>
    <mergeCell ref="J44:N44"/>
    <mergeCell ref="P44:Q44"/>
  </mergeCells>
  <conditionalFormatting sqref="Q53 Q49:Q50">
    <cfRule type="expression" dxfId="221" priority="36">
      <formula>Q49&gt;N49</formula>
    </cfRule>
  </conditionalFormatting>
  <conditionalFormatting sqref="Q51">
    <cfRule type="expression" dxfId="220" priority="34">
      <formula>Q51&gt;N51</formula>
    </cfRule>
  </conditionalFormatting>
  <conditionalFormatting sqref="O53">
    <cfRule type="expression" dxfId="219" priority="31">
      <formula>O53&gt;C51</formula>
    </cfRule>
  </conditionalFormatting>
  <conditionalFormatting sqref="O50">
    <cfRule type="expression" dxfId="218" priority="38">
      <formula>O50&gt;C49</formula>
    </cfRule>
  </conditionalFormatting>
  <conditionalFormatting sqref="K51:L51">
    <cfRule type="expression" dxfId="217" priority="5">
      <formula>K51="No"</formula>
    </cfRule>
  </conditionalFormatting>
  <conditionalFormatting sqref="Q52">
    <cfRule type="expression" dxfId="216" priority="2">
      <formula>Q52&gt;N52</formula>
    </cfRule>
  </conditionalFormatting>
  <conditionalFormatting sqref="K52:L52">
    <cfRule type="expression" dxfId="215" priority="1">
      <formula>K52="No"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2" manualBreakCount="2">
    <brk id="46" max="16383" man="1"/>
    <brk id="54" max="16383" man="1"/>
  </rowBreaks>
  <colBreaks count="1" manualBreakCount="1">
    <brk id="7"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DA1ABE5-9D06-4500-9D27-AA1CF3E01345}">
          <x14:formula1>
            <xm:f>Tables!$Q$21:$Q$23</xm:f>
          </x14:formula1>
          <xm:sqref>L51:L52</xm:sqref>
        </x14:dataValidation>
        <x14:dataValidation type="list" allowBlank="1" showInputMessage="1" showErrorMessage="1" xr:uid="{64923F9E-E72E-4DEF-8BD3-FC7793AB2662}">
          <x14:formula1>
            <xm:f>Tables!$O$21:$O$23</xm:f>
          </x14:formula1>
          <xm:sqref>K51:K52</xm:sqref>
        </x14:dataValidation>
        <x14:dataValidation type="list" allowBlank="1" showInputMessage="1" showErrorMessage="1" xr:uid="{99D8F75B-5D59-473A-85FF-9A5E01051498}">
          <x14:formula1>
            <xm:f>Tables!$C$3:$C$22</xm:f>
          </x14:formula1>
          <xm:sqref>M51:M52</xm:sqref>
        </x14:dataValidation>
        <x14:dataValidation type="list" allowBlank="1" showInputMessage="1" showErrorMessage="1" xr:uid="{2CFD6C82-4308-42F4-844A-3C63E95C1109}">
          <x14:formula1>
            <xm:f>Tables!$Q$2:$Q$7</xm:f>
          </x14:formula1>
          <xm:sqref>C7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1:Q121"/>
  <sheetViews>
    <sheetView zoomScaleNormal="100" workbookViewId="0">
      <selection activeCell="A29" sqref="A29:Q3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58" t="s">
        <v>60</v>
      </c>
      <c r="B2" s="459"/>
      <c r="C2" s="459"/>
      <c r="D2" s="459"/>
      <c r="E2" s="459"/>
      <c r="F2" s="459"/>
      <c r="G2" s="459"/>
      <c r="H2" s="459"/>
      <c r="I2" s="459"/>
      <c r="J2" s="459"/>
      <c r="K2" s="459"/>
      <c r="L2" s="459"/>
      <c r="M2" s="459"/>
      <c r="N2" s="459"/>
      <c r="O2" s="459"/>
      <c r="P2" s="459"/>
      <c r="Q2" s="460"/>
    </row>
    <row r="3" spans="1:17" s="224" customFormat="1" ht="15" customHeight="1" x14ac:dyDescent="0.3">
      <c r="A3" s="461" t="str">
        <f>CONCATENATE('HS - Positions and Funding'!A4," HIGH SCHOOL EXTRACURRICULAR STIPEND PAYMENT REQUEST")</f>
        <v>2023-2024 HIGH SCHOOL EXTRACURRICULAR STIPEND PAYMENT REQUEST</v>
      </c>
      <c r="B3" s="462"/>
      <c r="C3" s="462"/>
      <c r="D3" s="462"/>
      <c r="E3" s="462"/>
      <c r="F3" s="462"/>
      <c r="G3" s="462"/>
      <c r="H3" s="462"/>
      <c r="I3" s="462"/>
      <c r="J3" s="462"/>
      <c r="K3" s="462"/>
      <c r="L3" s="462"/>
      <c r="M3" s="462"/>
      <c r="N3" s="462"/>
      <c r="O3" s="462"/>
      <c r="P3" s="462"/>
      <c r="Q3" s="463"/>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1" t="s">
        <v>194</v>
      </c>
      <c r="B5" s="472"/>
      <c r="C5" s="472"/>
      <c r="D5" s="472"/>
      <c r="E5" s="472"/>
      <c r="F5" s="472"/>
      <c r="G5" s="472"/>
      <c r="H5" s="472"/>
      <c r="I5" s="472"/>
      <c r="J5" s="472"/>
      <c r="K5" s="472"/>
      <c r="L5" s="472"/>
      <c r="M5" s="472"/>
      <c r="N5" s="472"/>
      <c r="O5" s="472"/>
      <c r="P5" s="472"/>
      <c r="Q5" s="473"/>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66"/>
      <c r="D7" s="466"/>
      <c r="E7" s="466"/>
      <c r="F7" s="466"/>
      <c r="G7" s="19"/>
      <c r="H7" s="19"/>
      <c r="I7" s="19"/>
      <c r="J7" s="19"/>
      <c r="K7" s="19"/>
      <c r="L7" s="19"/>
      <c r="M7" s="19"/>
      <c r="N7" s="17" t="s">
        <v>144</v>
      </c>
      <c r="O7" s="467" t="s">
        <v>156</v>
      </c>
      <c r="P7" s="467"/>
      <c r="Q7" s="157"/>
    </row>
    <row r="8" spans="1:17" ht="19.95" customHeight="1" x14ac:dyDescent="0.3">
      <c r="A8" s="133"/>
      <c r="B8" s="17" t="s">
        <v>163</v>
      </c>
      <c r="C8" s="474"/>
      <c r="D8" s="474"/>
      <c r="E8" s="474"/>
      <c r="F8" s="474"/>
      <c r="G8" s="19"/>
      <c r="H8" s="19"/>
      <c r="I8" s="19"/>
      <c r="J8" s="19"/>
      <c r="K8" s="18"/>
      <c r="L8" s="18"/>
      <c r="M8" s="18"/>
      <c r="N8" s="17" t="s">
        <v>72</v>
      </c>
      <c r="O8" s="469" t="s">
        <v>157</v>
      </c>
      <c r="P8" s="469"/>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Basketball - Boys</v>
      </c>
      <c r="B12" s="201"/>
      <c r="C12" s="201"/>
      <c r="D12" s="187">
        <f>+P58</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+A59</f>
        <v>Basketball - Girls</v>
      </c>
      <c r="B13" s="201"/>
      <c r="C13" s="201"/>
      <c r="D13" s="190">
        <f>+P68</f>
        <v>0</v>
      </c>
      <c r="E13" s="191">
        <f>ROUND(+D13*0.08,0)</f>
        <v>0</v>
      </c>
      <c r="F13" s="192">
        <f t="shared" ref="F13:F17" si="0">SUM(D13:E13)</f>
        <v>0</v>
      </c>
      <c r="G13" s="90"/>
      <c r="H13" s="111" t="s">
        <v>148</v>
      </c>
      <c r="I13" s="89"/>
      <c r="J13" s="89"/>
      <c r="K13" s="19"/>
      <c r="L13" s="108"/>
      <c r="M13" s="108"/>
      <c r="N13" s="108"/>
      <c r="O13" s="108"/>
      <c r="P13" s="109"/>
      <c r="Q13" s="110"/>
    </row>
    <row r="14" spans="1:17" ht="15" customHeight="1" x14ac:dyDescent="0.25">
      <c r="A14" s="200" t="str">
        <f>+A69</f>
        <v>Swimming - Boys</v>
      </c>
      <c r="B14" s="201"/>
      <c r="C14" s="201"/>
      <c r="D14" s="193">
        <f>+P72</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t="str">
        <f>+A73</f>
        <v>Swimming - Girls</v>
      </c>
      <c r="B15" s="201"/>
      <c r="C15" s="201"/>
      <c r="D15" s="193">
        <f>+P76</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t="str">
        <f>+A77</f>
        <v>Wrestling - Boys</v>
      </c>
      <c r="B16" s="201"/>
      <c r="C16" s="201"/>
      <c r="D16" s="194">
        <f>+P85</f>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t="str">
        <f>+A86</f>
        <v>Wrestling - Girls</v>
      </c>
      <c r="B17" s="201"/>
      <c r="C17" s="201"/>
      <c r="D17" s="194">
        <f>+P94</f>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v>0</v>
      </c>
      <c r="G18" s="90"/>
      <c r="H18" s="19"/>
      <c r="I18" s="89"/>
      <c r="J18" s="89"/>
      <c r="K18" s="19"/>
      <c r="L18" s="108"/>
      <c r="M18" s="108"/>
      <c r="N18" s="108"/>
      <c r="O18" s="108"/>
      <c r="P18" s="109"/>
      <c r="Q18" s="113"/>
    </row>
    <row r="19" spans="1:17" ht="15" customHeight="1" x14ac:dyDescent="0.25">
      <c r="A19" s="200"/>
      <c r="B19" s="201"/>
      <c r="C19" s="201"/>
      <c r="D19" s="194">
        <v>0</v>
      </c>
      <c r="E19" s="191">
        <f t="shared" si="1"/>
        <v>0</v>
      </c>
      <c r="F19" s="192">
        <v>0</v>
      </c>
      <c r="G19" s="90"/>
      <c r="H19" s="95" t="s">
        <v>143</v>
      </c>
      <c r="I19" s="114"/>
      <c r="J19" s="114"/>
      <c r="K19" s="11"/>
      <c r="L19" s="116"/>
      <c r="M19" s="116"/>
      <c r="N19" s="116"/>
      <c r="O19" s="116"/>
      <c r="P19" s="117"/>
      <c r="Q19" s="94"/>
    </row>
    <row r="20" spans="1:17" ht="15" customHeight="1" x14ac:dyDescent="0.25">
      <c r="A20" s="200"/>
      <c r="B20" s="201"/>
      <c r="C20" s="201"/>
      <c r="D20" s="194">
        <v>0</v>
      </c>
      <c r="E20" s="191">
        <f t="shared" si="1"/>
        <v>0</v>
      </c>
      <c r="F20" s="192">
        <v>0</v>
      </c>
      <c r="G20" s="90"/>
      <c r="H20" s="118" t="s">
        <v>205</v>
      </c>
      <c r="I20" s="89"/>
      <c r="J20" s="89"/>
      <c r="K20" s="19"/>
      <c r="L20" s="119"/>
      <c r="M20" s="119"/>
      <c r="N20" s="119"/>
      <c r="O20" s="119"/>
      <c r="P20" s="109"/>
      <c r="Q20" s="113"/>
    </row>
    <row r="21" spans="1:17" ht="15" customHeight="1" x14ac:dyDescent="0.25">
      <c r="A21" s="200"/>
      <c r="B21" s="201"/>
      <c r="C21" s="201"/>
      <c r="D21" s="194">
        <v>0</v>
      </c>
      <c r="E21" s="191">
        <f t="shared" si="1"/>
        <v>0</v>
      </c>
      <c r="F21" s="192">
        <v>0</v>
      </c>
      <c r="G21" s="90"/>
      <c r="H21" s="118" t="s">
        <v>201</v>
      </c>
      <c r="I21" s="89"/>
      <c r="J21" s="89"/>
      <c r="K21" s="19"/>
      <c r="L21" s="119"/>
      <c r="M21" s="119"/>
      <c r="N21" s="119"/>
      <c r="O21" s="119"/>
      <c r="P21" s="109"/>
      <c r="Q21" s="113"/>
    </row>
    <row r="22" spans="1:17" ht="15" customHeight="1" thickBot="1" x14ac:dyDescent="0.3">
      <c r="A22" s="200"/>
      <c r="B22" s="201"/>
      <c r="C22" s="201"/>
      <c r="D22" s="194">
        <v>0</v>
      </c>
      <c r="E22" s="191">
        <f t="shared" si="1"/>
        <v>0</v>
      </c>
      <c r="F22" s="192">
        <v>0</v>
      </c>
      <c r="G22" s="90"/>
      <c r="H22" s="106"/>
      <c r="I22" s="89"/>
      <c r="J22" s="89"/>
      <c r="K22" s="19"/>
      <c r="L22" s="119"/>
      <c r="M22" s="119"/>
      <c r="N22" s="119"/>
      <c r="O22" s="119"/>
      <c r="P22" s="109"/>
      <c r="Q22" s="113"/>
    </row>
    <row r="23" spans="1:17" ht="15" customHeight="1" x14ac:dyDescent="0.25">
      <c r="A23" s="200"/>
      <c r="B23" s="201"/>
      <c r="C23" s="201"/>
      <c r="D23" s="194">
        <v>0</v>
      </c>
      <c r="E23" s="191">
        <f t="shared" si="1"/>
        <v>0</v>
      </c>
      <c r="F23" s="192">
        <v>0</v>
      </c>
      <c r="G23" s="90"/>
      <c r="H23" s="23" t="s">
        <v>69</v>
      </c>
      <c r="I23" s="25"/>
      <c r="J23" s="28"/>
      <c r="K23" s="28"/>
      <c r="L23" s="28"/>
      <c r="M23" s="116"/>
      <c r="N23" s="116"/>
      <c r="O23" s="116"/>
      <c r="P23" s="117"/>
      <c r="Q23" s="94"/>
    </row>
    <row r="24" spans="1:17" ht="15" customHeight="1" x14ac:dyDescent="0.25">
      <c r="A24" s="200"/>
      <c r="B24" s="201"/>
      <c r="C24" s="201"/>
      <c r="D24" s="194">
        <v>0</v>
      </c>
      <c r="E24" s="191">
        <f t="shared" si="1"/>
        <v>0</v>
      </c>
      <c r="F24" s="192">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1"/>
        <v>0</v>
      </c>
      <c r="F25" s="281">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65"/>
      <c r="L26" s="19"/>
      <c r="M26" s="119"/>
      <c r="N26" s="119"/>
      <c r="O26" s="119"/>
      <c r="P26" s="109"/>
      <c r="Q26" s="113"/>
    </row>
    <row r="27" spans="1:17" ht="13.8" customHeight="1" thickBot="1" x14ac:dyDescent="0.3">
      <c r="A27" s="120"/>
      <c r="B27" s="121"/>
      <c r="C27" s="121"/>
      <c r="D27" s="121"/>
      <c r="E27" s="121"/>
      <c r="F27" s="121"/>
      <c r="G27" s="35"/>
      <c r="H27" s="122"/>
      <c r="I27" s="123"/>
      <c r="J27" s="34"/>
      <c r="K27" s="34"/>
      <c r="L27" s="34"/>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1"/>
      <c r="B29" s="482"/>
      <c r="C29" s="482"/>
      <c r="D29" s="482"/>
      <c r="E29" s="482"/>
      <c r="F29" s="482"/>
      <c r="G29" s="482"/>
      <c r="H29" s="482"/>
      <c r="I29" s="482"/>
      <c r="J29" s="482"/>
      <c r="K29" s="482"/>
      <c r="L29" s="482"/>
      <c r="M29" s="482"/>
      <c r="N29" s="482"/>
      <c r="O29" s="482"/>
      <c r="P29" s="482"/>
      <c r="Q29" s="483"/>
    </row>
    <row r="30" spans="1:17" ht="15" customHeight="1" x14ac:dyDescent="0.25">
      <c r="A30" s="481"/>
      <c r="B30" s="482"/>
      <c r="C30" s="482"/>
      <c r="D30" s="482"/>
      <c r="E30" s="482"/>
      <c r="F30" s="482"/>
      <c r="G30" s="482"/>
      <c r="H30" s="482"/>
      <c r="I30" s="482"/>
      <c r="J30" s="482"/>
      <c r="K30" s="482"/>
      <c r="L30" s="482"/>
      <c r="M30" s="482"/>
      <c r="N30" s="482"/>
      <c r="O30" s="482"/>
      <c r="P30" s="482"/>
      <c r="Q30" s="483"/>
    </row>
    <row r="31" spans="1:17" ht="15" customHeight="1" x14ac:dyDescent="0.25">
      <c r="A31" s="481"/>
      <c r="B31" s="482"/>
      <c r="C31" s="482"/>
      <c r="D31" s="482"/>
      <c r="E31" s="482"/>
      <c r="F31" s="482"/>
      <c r="G31" s="482"/>
      <c r="H31" s="482"/>
      <c r="I31" s="482"/>
      <c r="J31" s="482"/>
      <c r="K31" s="482"/>
      <c r="L31" s="482"/>
      <c r="M31" s="482"/>
      <c r="N31" s="482"/>
      <c r="O31" s="482"/>
      <c r="P31" s="482"/>
      <c r="Q31" s="483"/>
    </row>
    <row r="32" spans="1:17" ht="15" customHeight="1" thickBot="1" x14ac:dyDescent="0.3">
      <c r="A32" s="484"/>
      <c r="B32" s="485"/>
      <c r="C32" s="485"/>
      <c r="D32" s="485"/>
      <c r="E32" s="485"/>
      <c r="F32" s="485"/>
      <c r="G32" s="485"/>
      <c r="H32" s="485"/>
      <c r="I32" s="485"/>
      <c r="J32" s="485"/>
      <c r="K32" s="485"/>
      <c r="L32" s="485"/>
      <c r="M32" s="485"/>
      <c r="N32" s="485"/>
      <c r="O32" s="485"/>
      <c r="P32" s="485"/>
      <c r="Q32" s="486"/>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1"/>
      <c r="B34" s="482"/>
      <c r="C34" s="482"/>
      <c r="D34" s="482"/>
      <c r="E34" s="482"/>
      <c r="F34" s="482"/>
      <c r="G34" s="482"/>
      <c r="H34" s="482"/>
      <c r="I34" s="482"/>
      <c r="J34" s="482"/>
      <c r="K34" s="482"/>
      <c r="L34" s="482"/>
      <c r="M34" s="482"/>
      <c r="N34" s="482"/>
      <c r="O34" s="482"/>
      <c r="P34" s="482"/>
      <c r="Q34" s="483"/>
    </row>
    <row r="35" spans="1:17" ht="15" customHeight="1" x14ac:dyDescent="0.25">
      <c r="A35" s="481"/>
      <c r="B35" s="482"/>
      <c r="C35" s="482"/>
      <c r="D35" s="482"/>
      <c r="E35" s="482"/>
      <c r="F35" s="482"/>
      <c r="G35" s="482"/>
      <c r="H35" s="482"/>
      <c r="I35" s="482"/>
      <c r="J35" s="482"/>
      <c r="K35" s="482"/>
      <c r="L35" s="482"/>
      <c r="M35" s="482"/>
      <c r="N35" s="482"/>
      <c r="O35" s="482"/>
      <c r="P35" s="482"/>
      <c r="Q35" s="483"/>
    </row>
    <row r="36" spans="1:17" ht="15" customHeight="1" x14ac:dyDescent="0.25">
      <c r="A36" s="481"/>
      <c r="B36" s="482"/>
      <c r="C36" s="482"/>
      <c r="D36" s="482"/>
      <c r="E36" s="482"/>
      <c r="F36" s="482"/>
      <c r="G36" s="482"/>
      <c r="H36" s="482"/>
      <c r="I36" s="482"/>
      <c r="J36" s="482"/>
      <c r="K36" s="482"/>
      <c r="L36" s="482"/>
      <c r="M36" s="482"/>
      <c r="N36" s="482"/>
      <c r="O36" s="482"/>
      <c r="P36" s="482"/>
      <c r="Q36" s="483"/>
    </row>
    <row r="37" spans="1:17" ht="15" customHeight="1" thickBot="1" x14ac:dyDescent="0.3">
      <c r="A37" s="484"/>
      <c r="B37" s="485"/>
      <c r="C37" s="485"/>
      <c r="D37" s="485"/>
      <c r="E37" s="485"/>
      <c r="F37" s="485"/>
      <c r="G37" s="485"/>
      <c r="H37" s="485"/>
      <c r="I37" s="485"/>
      <c r="J37" s="485"/>
      <c r="K37" s="485"/>
      <c r="L37" s="485"/>
      <c r="M37" s="485"/>
      <c r="N37" s="485"/>
      <c r="O37" s="485"/>
      <c r="P37" s="485"/>
      <c r="Q37" s="486"/>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87" t="s">
        <v>248</v>
      </c>
      <c r="B39" s="488"/>
      <c r="C39" s="488"/>
      <c r="D39" s="488"/>
      <c r="E39" s="488"/>
      <c r="F39" s="488"/>
      <c r="G39" s="488"/>
      <c r="H39" s="488"/>
      <c r="I39" s="488"/>
      <c r="J39" s="488"/>
      <c r="K39" s="488"/>
      <c r="L39" s="488"/>
      <c r="M39" s="488"/>
      <c r="N39" s="488"/>
      <c r="O39" s="488"/>
      <c r="P39" s="488"/>
      <c r="Q39" s="489"/>
    </row>
    <row r="40" spans="1:17" s="81" customFormat="1" ht="27" customHeight="1" x14ac:dyDescent="0.25">
      <c r="A40" s="490"/>
      <c r="B40" s="491"/>
      <c r="C40" s="491"/>
      <c r="D40" s="491"/>
      <c r="E40" s="491"/>
      <c r="F40" s="19"/>
      <c r="G40" s="492"/>
      <c r="H40" s="492"/>
      <c r="I40" s="88"/>
      <c r="J40" s="491"/>
      <c r="K40" s="491"/>
      <c r="L40" s="491"/>
      <c r="M40" s="491"/>
      <c r="N40" s="491"/>
      <c r="O40" s="19"/>
      <c r="P40" s="492"/>
      <c r="Q40" s="493"/>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0"/>
      <c r="B42" s="491"/>
      <c r="C42" s="491"/>
      <c r="D42" s="491"/>
      <c r="E42" s="491"/>
      <c r="F42" s="19"/>
      <c r="G42" s="492"/>
      <c r="H42" s="492"/>
      <c r="I42" s="88"/>
      <c r="J42" s="491"/>
      <c r="K42" s="491"/>
      <c r="L42" s="491"/>
      <c r="M42" s="491"/>
      <c r="N42" s="491"/>
      <c r="O42" s="19"/>
      <c r="P42" s="492"/>
      <c r="Q42" s="493"/>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0"/>
      <c r="B44" s="491"/>
      <c r="C44" s="491"/>
      <c r="D44" s="491"/>
      <c r="E44" s="491"/>
      <c r="F44" s="130"/>
      <c r="G44" s="492"/>
      <c r="H44" s="492"/>
      <c r="I44" s="131"/>
      <c r="J44" s="491"/>
      <c r="K44" s="491"/>
      <c r="L44" s="491"/>
      <c r="M44" s="491"/>
      <c r="N44" s="491"/>
      <c r="O44" s="19"/>
      <c r="P44" s="492"/>
      <c r="Q44" s="493"/>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1" t="s">
        <v>247</v>
      </c>
      <c r="B47" s="522"/>
      <c r="C47" s="522"/>
      <c r="D47" s="522"/>
      <c r="E47" s="522"/>
      <c r="F47" s="522"/>
      <c r="G47" s="522"/>
      <c r="H47" s="522"/>
      <c r="I47" s="522"/>
      <c r="J47" s="522"/>
      <c r="K47" s="522"/>
      <c r="L47" s="522"/>
      <c r="M47" s="522"/>
      <c r="N47" s="522"/>
      <c r="O47" s="522"/>
      <c r="P47" s="522"/>
      <c r="Q47" s="523"/>
    </row>
    <row r="48" spans="1:17" s="79" customFormat="1" ht="55.05" customHeight="1" thickBot="1" x14ac:dyDescent="0.3">
      <c r="A48" s="464" t="s">
        <v>50</v>
      </c>
      <c r="B48" s="465"/>
      <c r="C48" s="273" t="s">
        <v>249</v>
      </c>
      <c r="D48" s="275" t="s">
        <v>0</v>
      </c>
      <c r="E48" s="275"/>
      <c r="F48" s="273" t="s">
        <v>46</v>
      </c>
      <c r="G48" s="465" t="s">
        <v>133</v>
      </c>
      <c r="H48" s="465"/>
      <c r="I48" s="465"/>
      <c r="J48" s="273" t="s">
        <v>62</v>
      </c>
      <c r="K48" s="273" t="s">
        <v>138</v>
      </c>
      <c r="L48" s="273" t="s">
        <v>137</v>
      </c>
      <c r="M48" s="273" t="s">
        <v>34</v>
      </c>
      <c r="N48" s="273" t="s">
        <v>250</v>
      </c>
      <c r="O48" s="273" t="s">
        <v>139</v>
      </c>
      <c r="P48" s="273" t="s">
        <v>63</v>
      </c>
      <c r="Q48" s="274" t="s">
        <v>251</v>
      </c>
    </row>
    <row r="49" spans="1:17" ht="19.95" customHeight="1" x14ac:dyDescent="0.25">
      <c r="A49" s="452" t="s">
        <v>6</v>
      </c>
      <c r="B49" s="453"/>
      <c r="C49" s="475">
        <f>+'HS - Positions and Funding'!B16</f>
        <v>18656</v>
      </c>
      <c r="D49" s="446" t="s">
        <v>57</v>
      </c>
      <c r="E49" s="446"/>
      <c r="F49" s="168" t="s">
        <v>2</v>
      </c>
      <c r="G49" s="451"/>
      <c r="H49" s="451"/>
      <c r="I49" s="451"/>
      <c r="J49" s="169"/>
      <c r="K49" s="170"/>
      <c r="L49" s="170"/>
      <c r="M49" s="169"/>
      <c r="N49" s="171">
        <f>IF(M49&gt;0,HLOOKUP(F49,Tables!$D$3:$M$22,M49+1,0),0)</f>
        <v>0</v>
      </c>
      <c r="O49" s="172">
        <v>0</v>
      </c>
      <c r="P49" s="172">
        <v>0</v>
      </c>
      <c r="Q49" s="173">
        <f>SUM(O49:P49)</f>
        <v>0</v>
      </c>
    </row>
    <row r="50" spans="1:17" ht="19.95" customHeight="1" x14ac:dyDescent="0.25">
      <c r="A50" s="454"/>
      <c r="B50" s="455"/>
      <c r="C50" s="476"/>
      <c r="D50" s="445" t="s">
        <v>56</v>
      </c>
      <c r="E50" s="445"/>
      <c r="F50" s="174" t="s">
        <v>77</v>
      </c>
      <c r="G50" s="450"/>
      <c r="H50" s="450"/>
      <c r="I50" s="450"/>
      <c r="J50" s="175"/>
      <c r="K50" s="175"/>
      <c r="L50" s="175"/>
      <c r="M50" s="175"/>
      <c r="N50" s="176">
        <f>IF(M50&gt;0,HLOOKUP(F50,Tables!$D$3:$M$22,M50+1,0),0)</f>
        <v>0</v>
      </c>
      <c r="O50" s="177">
        <v>0</v>
      </c>
      <c r="P50" s="177">
        <v>0</v>
      </c>
      <c r="Q50" s="178">
        <f t="shared" ref="Q50:Q58" si="2">SUM(O50:P50)</f>
        <v>0</v>
      </c>
    </row>
    <row r="51" spans="1:17" ht="19.95" customHeight="1" x14ac:dyDescent="0.25">
      <c r="A51" s="454"/>
      <c r="B51" s="455"/>
      <c r="C51" s="476"/>
      <c r="D51" s="445" t="s">
        <v>56</v>
      </c>
      <c r="E51" s="445"/>
      <c r="F51" s="174" t="s">
        <v>77</v>
      </c>
      <c r="G51" s="450"/>
      <c r="H51" s="450"/>
      <c r="I51" s="450"/>
      <c r="J51" s="175"/>
      <c r="K51" s="175"/>
      <c r="L51" s="175"/>
      <c r="M51" s="175"/>
      <c r="N51" s="176">
        <f>IF(M51&gt;0,HLOOKUP(F51,Tables!$D$3:$M$22,M51+1,0),0)</f>
        <v>0</v>
      </c>
      <c r="O51" s="177">
        <v>0</v>
      </c>
      <c r="P51" s="177">
        <v>0</v>
      </c>
      <c r="Q51" s="178">
        <f t="shared" ref="Q51:Q54" si="3">SUM(O51:P51)</f>
        <v>0</v>
      </c>
    </row>
    <row r="52" spans="1:17" ht="19.95" customHeight="1" x14ac:dyDescent="0.25">
      <c r="A52" s="454"/>
      <c r="B52" s="455"/>
      <c r="C52" s="476"/>
      <c r="D52" s="445" t="s">
        <v>56</v>
      </c>
      <c r="E52" s="445"/>
      <c r="F52" s="174" t="s">
        <v>77</v>
      </c>
      <c r="G52" s="450"/>
      <c r="H52" s="450"/>
      <c r="I52" s="450"/>
      <c r="J52" s="175"/>
      <c r="K52" s="175"/>
      <c r="L52" s="175"/>
      <c r="M52" s="175"/>
      <c r="N52" s="176">
        <f>IF(M52&gt;0,HLOOKUP(F52,Tables!$D$3:$M$22,M52+1,0),0)</f>
        <v>0</v>
      </c>
      <c r="O52" s="177">
        <v>0</v>
      </c>
      <c r="P52" s="177">
        <v>0</v>
      </c>
      <c r="Q52" s="178">
        <f t="shared" si="3"/>
        <v>0</v>
      </c>
    </row>
    <row r="53" spans="1:17" ht="19.95" customHeight="1" x14ac:dyDescent="0.25">
      <c r="A53" s="454"/>
      <c r="B53" s="455"/>
      <c r="C53" s="476"/>
      <c r="D53" s="445" t="s">
        <v>56</v>
      </c>
      <c r="E53" s="445"/>
      <c r="F53" s="174" t="s">
        <v>77</v>
      </c>
      <c r="G53" s="450"/>
      <c r="H53" s="450"/>
      <c r="I53" s="450"/>
      <c r="J53" s="175"/>
      <c r="K53" s="175"/>
      <c r="L53" s="175"/>
      <c r="M53" s="175"/>
      <c r="N53" s="176">
        <f>IF(M53&gt;0,HLOOKUP(F53,Tables!$D$3:$M$22,M53+1,0),0)</f>
        <v>0</v>
      </c>
      <c r="O53" s="177">
        <v>0</v>
      </c>
      <c r="P53" s="177">
        <v>0</v>
      </c>
      <c r="Q53" s="178">
        <f t="shared" si="3"/>
        <v>0</v>
      </c>
    </row>
    <row r="54" spans="1:17" ht="19.95" customHeight="1" x14ac:dyDescent="0.25">
      <c r="A54" s="454"/>
      <c r="B54" s="455"/>
      <c r="C54" s="476"/>
      <c r="D54" s="445" t="s">
        <v>56</v>
      </c>
      <c r="E54" s="445"/>
      <c r="F54" s="174" t="s">
        <v>77</v>
      </c>
      <c r="G54" s="450"/>
      <c r="H54" s="450"/>
      <c r="I54" s="450"/>
      <c r="J54" s="175"/>
      <c r="K54" s="175"/>
      <c r="L54" s="175"/>
      <c r="M54" s="175"/>
      <c r="N54" s="176">
        <f>IF(M54&gt;0,HLOOKUP(F54,Tables!$D$3:$M$22,M54+1,0),0)</f>
        <v>0</v>
      </c>
      <c r="O54" s="177">
        <v>0</v>
      </c>
      <c r="P54" s="177">
        <v>0</v>
      </c>
      <c r="Q54" s="178">
        <f t="shared" si="3"/>
        <v>0</v>
      </c>
    </row>
    <row r="55" spans="1:17" ht="19.95" customHeight="1" x14ac:dyDescent="0.25">
      <c r="A55" s="454"/>
      <c r="B55" s="455"/>
      <c r="C55" s="476"/>
      <c r="D55" s="445" t="s">
        <v>56</v>
      </c>
      <c r="E55" s="445"/>
      <c r="F55" s="174" t="s">
        <v>77</v>
      </c>
      <c r="G55" s="450"/>
      <c r="H55" s="450"/>
      <c r="I55" s="450"/>
      <c r="J55" s="175"/>
      <c r="K55" s="175"/>
      <c r="L55" s="175"/>
      <c r="M55" s="175"/>
      <c r="N55" s="176">
        <f>IF(M55&gt;0,HLOOKUP(F55,Tables!$D$3:$M$22,M55+1,0),0)</f>
        <v>0</v>
      </c>
      <c r="O55" s="177">
        <v>0</v>
      </c>
      <c r="P55" s="177">
        <v>0</v>
      </c>
      <c r="Q55" s="178">
        <f t="shared" ref="Q55:Q56" si="4">SUM(O55:P55)</f>
        <v>0</v>
      </c>
    </row>
    <row r="56" spans="1:17" ht="19.95" customHeight="1" x14ac:dyDescent="0.25">
      <c r="A56" s="454"/>
      <c r="B56" s="455"/>
      <c r="C56" s="476"/>
      <c r="D56" s="445" t="s">
        <v>56</v>
      </c>
      <c r="E56" s="445"/>
      <c r="F56" s="174" t="s">
        <v>77</v>
      </c>
      <c r="G56" s="450"/>
      <c r="H56" s="450"/>
      <c r="I56" s="450"/>
      <c r="J56" s="175"/>
      <c r="K56" s="175"/>
      <c r="L56" s="175"/>
      <c r="M56" s="175"/>
      <c r="N56" s="176">
        <f>IF(M56&gt;0,HLOOKUP(F56,Tables!$D$3:$M$22,M56+1,0),0)</f>
        <v>0</v>
      </c>
      <c r="O56" s="177">
        <v>0</v>
      </c>
      <c r="P56" s="177">
        <v>0</v>
      </c>
      <c r="Q56" s="178">
        <f t="shared" si="4"/>
        <v>0</v>
      </c>
    </row>
    <row r="57" spans="1:17" ht="19.95" customHeight="1" x14ac:dyDescent="0.25">
      <c r="A57" s="454"/>
      <c r="B57" s="455"/>
      <c r="C57" s="476"/>
      <c r="D57" s="445" t="s">
        <v>56</v>
      </c>
      <c r="E57" s="445"/>
      <c r="F57" s="174" t="s">
        <v>77</v>
      </c>
      <c r="G57" s="450"/>
      <c r="H57" s="450"/>
      <c r="I57" s="450"/>
      <c r="J57" s="175"/>
      <c r="K57" s="179"/>
      <c r="L57" s="179"/>
      <c r="M57" s="175"/>
      <c r="N57" s="176">
        <f>IF(M57&gt;0,HLOOKUP(F57,Tables!$D$3:$M$22,M57+1,0),0)</f>
        <v>0</v>
      </c>
      <c r="O57" s="177">
        <v>0</v>
      </c>
      <c r="P57" s="177">
        <v>0</v>
      </c>
      <c r="Q57" s="178">
        <f t="shared" si="2"/>
        <v>0</v>
      </c>
    </row>
    <row r="58" spans="1:17" s="142" customFormat="1" ht="19.95" customHeight="1" thickBot="1" x14ac:dyDescent="0.35">
      <c r="A58" s="456"/>
      <c r="B58" s="457"/>
      <c r="C58" s="477"/>
      <c r="D58" s="447" t="str">
        <f>CONCATENATE(A49," Totals")</f>
        <v>Basketball - Boys Totals</v>
      </c>
      <c r="E58" s="448"/>
      <c r="F58" s="448"/>
      <c r="G58" s="448"/>
      <c r="H58" s="448"/>
      <c r="I58" s="448"/>
      <c r="J58" s="448"/>
      <c r="K58" s="448"/>
      <c r="L58" s="448"/>
      <c r="M58" s="449"/>
      <c r="N58" s="180">
        <f>SUM(N49:N57)</f>
        <v>0</v>
      </c>
      <c r="O58" s="180">
        <f t="shared" ref="O58:P58" si="5">SUM(O49:O57)</f>
        <v>0</v>
      </c>
      <c r="P58" s="180">
        <f t="shared" si="5"/>
        <v>0</v>
      </c>
      <c r="Q58" s="181">
        <f t="shared" si="2"/>
        <v>0</v>
      </c>
    </row>
    <row r="59" spans="1:17" ht="19.95" customHeight="1" x14ac:dyDescent="0.25">
      <c r="A59" s="452" t="s">
        <v>7</v>
      </c>
      <c r="B59" s="453"/>
      <c r="C59" s="475">
        <f>+'HS - Positions and Funding'!B18</f>
        <v>18656</v>
      </c>
      <c r="D59" s="446" t="s">
        <v>57</v>
      </c>
      <c r="E59" s="446"/>
      <c r="F59" s="168" t="s">
        <v>2</v>
      </c>
      <c r="G59" s="451"/>
      <c r="H59" s="451"/>
      <c r="I59" s="451"/>
      <c r="J59" s="169"/>
      <c r="K59" s="170"/>
      <c r="L59" s="170"/>
      <c r="M59" s="169"/>
      <c r="N59" s="171">
        <f>IF(M59&gt;0,HLOOKUP(F59,Tables!$D$3:$M$22,M59+1,0),0)</f>
        <v>0</v>
      </c>
      <c r="O59" s="172">
        <v>0</v>
      </c>
      <c r="P59" s="172">
        <v>0</v>
      </c>
      <c r="Q59" s="173">
        <f>SUM(O59:P59)</f>
        <v>0</v>
      </c>
    </row>
    <row r="60" spans="1:17" ht="19.95" customHeight="1" x14ac:dyDescent="0.25">
      <c r="A60" s="494"/>
      <c r="B60" s="495"/>
      <c r="C60" s="496"/>
      <c r="D60" s="445" t="s">
        <v>56</v>
      </c>
      <c r="E60" s="445"/>
      <c r="F60" s="174" t="s">
        <v>77</v>
      </c>
      <c r="G60" s="450"/>
      <c r="H60" s="450"/>
      <c r="I60" s="450"/>
      <c r="J60" s="175"/>
      <c r="K60" s="175"/>
      <c r="L60" s="175"/>
      <c r="M60" s="175"/>
      <c r="N60" s="176">
        <f>IF(M60&gt;0,HLOOKUP(F60,Tables!$D$3:$M$22,M60+1,0),0)</f>
        <v>0</v>
      </c>
      <c r="O60" s="177">
        <v>0</v>
      </c>
      <c r="P60" s="177">
        <v>0</v>
      </c>
      <c r="Q60" s="178">
        <f t="shared" ref="Q60:Q63" si="6">SUM(O60:P60)</f>
        <v>0</v>
      </c>
    </row>
    <row r="61" spans="1:17" ht="19.95" customHeight="1" x14ac:dyDescent="0.25">
      <c r="A61" s="494"/>
      <c r="B61" s="495"/>
      <c r="C61" s="496"/>
      <c r="D61" s="445" t="s">
        <v>56</v>
      </c>
      <c r="E61" s="445"/>
      <c r="F61" s="174" t="s">
        <v>77</v>
      </c>
      <c r="G61" s="450"/>
      <c r="H61" s="450"/>
      <c r="I61" s="450"/>
      <c r="J61" s="175"/>
      <c r="K61" s="175"/>
      <c r="L61" s="175"/>
      <c r="M61" s="175"/>
      <c r="N61" s="176">
        <f>IF(M61&gt;0,HLOOKUP(F61,Tables!$D$3:$M$22,M61+1,0),0)</f>
        <v>0</v>
      </c>
      <c r="O61" s="177">
        <v>0</v>
      </c>
      <c r="P61" s="177">
        <v>0</v>
      </c>
      <c r="Q61" s="178">
        <f t="shared" si="6"/>
        <v>0</v>
      </c>
    </row>
    <row r="62" spans="1:17" ht="19.95" customHeight="1" x14ac:dyDescent="0.25">
      <c r="A62" s="494"/>
      <c r="B62" s="495"/>
      <c r="C62" s="496"/>
      <c r="D62" s="445" t="s">
        <v>56</v>
      </c>
      <c r="E62" s="445"/>
      <c r="F62" s="174" t="s">
        <v>77</v>
      </c>
      <c r="G62" s="450"/>
      <c r="H62" s="450"/>
      <c r="I62" s="450"/>
      <c r="J62" s="175"/>
      <c r="K62" s="175"/>
      <c r="L62" s="175"/>
      <c r="M62" s="175"/>
      <c r="N62" s="176">
        <f>IF(M62&gt;0,HLOOKUP(F62,Tables!$D$3:$M$22,M62+1,0),0)</f>
        <v>0</v>
      </c>
      <c r="O62" s="177">
        <v>0</v>
      </c>
      <c r="P62" s="177">
        <v>0</v>
      </c>
      <c r="Q62" s="178">
        <f t="shared" si="6"/>
        <v>0</v>
      </c>
    </row>
    <row r="63" spans="1:17" ht="19.95" customHeight="1" x14ac:dyDescent="0.25">
      <c r="A63" s="494"/>
      <c r="B63" s="495"/>
      <c r="C63" s="496"/>
      <c r="D63" s="445" t="s">
        <v>56</v>
      </c>
      <c r="E63" s="445"/>
      <c r="F63" s="174" t="s">
        <v>77</v>
      </c>
      <c r="G63" s="450"/>
      <c r="H63" s="450"/>
      <c r="I63" s="450"/>
      <c r="J63" s="175"/>
      <c r="K63" s="175"/>
      <c r="L63" s="175"/>
      <c r="M63" s="175"/>
      <c r="N63" s="176">
        <f>IF(M63&gt;0,HLOOKUP(F63,Tables!$D$3:$M$22,M63+1,0),0)</f>
        <v>0</v>
      </c>
      <c r="O63" s="177">
        <v>0</v>
      </c>
      <c r="P63" s="177">
        <v>0</v>
      </c>
      <c r="Q63" s="178">
        <f t="shared" si="6"/>
        <v>0</v>
      </c>
    </row>
    <row r="64" spans="1:17" ht="19.95" customHeight="1" x14ac:dyDescent="0.25">
      <c r="A64" s="494"/>
      <c r="B64" s="495"/>
      <c r="C64" s="496"/>
      <c r="D64" s="445" t="s">
        <v>56</v>
      </c>
      <c r="E64" s="445"/>
      <c r="F64" s="174" t="s">
        <v>77</v>
      </c>
      <c r="G64" s="450"/>
      <c r="H64" s="450"/>
      <c r="I64" s="450"/>
      <c r="J64" s="175"/>
      <c r="K64" s="175"/>
      <c r="L64" s="175"/>
      <c r="M64" s="175"/>
      <c r="N64" s="176">
        <f>IF(M64&gt;0,HLOOKUP(F64,Tables!$D$3:$M$22,M64+1,0),0)</f>
        <v>0</v>
      </c>
      <c r="O64" s="177">
        <v>0</v>
      </c>
      <c r="P64" s="177">
        <v>0</v>
      </c>
      <c r="Q64" s="178">
        <f t="shared" ref="Q64:Q65" si="7">SUM(O64:P64)</f>
        <v>0</v>
      </c>
    </row>
    <row r="65" spans="1:17" ht="19.95" customHeight="1" x14ac:dyDescent="0.25">
      <c r="A65" s="494"/>
      <c r="B65" s="495"/>
      <c r="C65" s="496"/>
      <c r="D65" s="445" t="s">
        <v>56</v>
      </c>
      <c r="E65" s="445"/>
      <c r="F65" s="174" t="s">
        <v>77</v>
      </c>
      <c r="G65" s="450"/>
      <c r="H65" s="450"/>
      <c r="I65" s="450"/>
      <c r="J65" s="175"/>
      <c r="K65" s="175"/>
      <c r="L65" s="175"/>
      <c r="M65" s="175"/>
      <c r="N65" s="176">
        <f>IF(M65&gt;0,HLOOKUP(F65,Tables!$D$3:$M$22,M65+1,0),0)</f>
        <v>0</v>
      </c>
      <c r="O65" s="177">
        <v>0</v>
      </c>
      <c r="P65" s="177">
        <v>0</v>
      </c>
      <c r="Q65" s="178">
        <f t="shared" si="7"/>
        <v>0</v>
      </c>
    </row>
    <row r="66" spans="1:17" ht="19.95" customHeight="1" x14ac:dyDescent="0.25">
      <c r="A66" s="454"/>
      <c r="B66" s="455"/>
      <c r="C66" s="476"/>
      <c r="D66" s="445" t="s">
        <v>56</v>
      </c>
      <c r="E66" s="445"/>
      <c r="F66" s="174" t="s">
        <v>77</v>
      </c>
      <c r="G66" s="450"/>
      <c r="H66" s="450"/>
      <c r="I66" s="450"/>
      <c r="J66" s="175"/>
      <c r="K66" s="175"/>
      <c r="L66" s="175"/>
      <c r="M66" s="175"/>
      <c r="N66" s="176">
        <f>IF(M66&gt;0,HLOOKUP(F66,Tables!$D$3:$M$22,M66+1,0),0)</f>
        <v>0</v>
      </c>
      <c r="O66" s="177">
        <v>0</v>
      </c>
      <c r="P66" s="177">
        <v>0</v>
      </c>
      <c r="Q66" s="178">
        <f t="shared" ref="Q66:Q68" si="8">SUM(O66:P66)</f>
        <v>0</v>
      </c>
    </row>
    <row r="67" spans="1:17" ht="19.95" customHeight="1" x14ac:dyDescent="0.25">
      <c r="A67" s="454"/>
      <c r="B67" s="455"/>
      <c r="C67" s="476"/>
      <c r="D67" s="445" t="s">
        <v>56</v>
      </c>
      <c r="E67" s="445"/>
      <c r="F67" s="174" t="s">
        <v>77</v>
      </c>
      <c r="G67" s="450"/>
      <c r="H67" s="450"/>
      <c r="I67" s="450"/>
      <c r="J67" s="175"/>
      <c r="K67" s="179"/>
      <c r="L67" s="179"/>
      <c r="M67" s="175"/>
      <c r="N67" s="176">
        <f>IF(M67&gt;0,HLOOKUP(F67,Tables!$D$3:$M$22,M67+1,0),0)</f>
        <v>0</v>
      </c>
      <c r="O67" s="177">
        <v>0</v>
      </c>
      <c r="P67" s="177">
        <v>0</v>
      </c>
      <c r="Q67" s="178">
        <f t="shared" si="8"/>
        <v>0</v>
      </c>
    </row>
    <row r="68" spans="1:17" s="143" customFormat="1" ht="19.95" customHeight="1" thickBot="1" x14ac:dyDescent="0.35">
      <c r="A68" s="456"/>
      <c r="B68" s="457"/>
      <c r="C68" s="477"/>
      <c r="D68" s="447" t="str">
        <f>CONCATENATE(A59," Totals")</f>
        <v>Basketball - Girls Totals</v>
      </c>
      <c r="E68" s="448"/>
      <c r="F68" s="448"/>
      <c r="G68" s="448"/>
      <c r="H68" s="448"/>
      <c r="I68" s="448"/>
      <c r="J68" s="448"/>
      <c r="K68" s="448"/>
      <c r="L68" s="448"/>
      <c r="M68" s="449"/>
      <c r="N68" s="180">
        <f>SUM(N59:N67)</f>
        <v>0</v>
      </c>
      <c r="O68" s="180">
        <f t="shared" ref="O68:P68" si="9">SUM(O59:O67)</f>
        <v>0</v>
      </c>
      <c r="P68" s="180">
        <f t="shared" si="9"/>
        <v>0</v>
      </c>
      <c r="Q68" s="181">
        <f t="shared" si="8"/>
        <v>0</v>
      </c>
    </row>
    <row r="69" spans="1:17" ht="19.95" customHeight="1" x14ac:dyDescent="0.25">
      <c r="A69" s="452" t="s">
        <v>85</v>
      </c>
      <c r="B69" s="453"/>
      <c r="C69" s="475">
        <f>+'HS - Positions and Funding'!B64</f>
        <v>7288</v>
      </c>
      <c r="D69" s="446" t="s">
        <v>57</v>
      </c>
      <c r="E69" s="446"/>
      <c r="F69" s="168" t="s">
        <v>22</v>
      </c>
      <c r="G69" s="451"/>
      <c r="H69" s="451"/>
      <c r="I69" s="451"/>
      <c r="J69" s="169"/>
      <c r="K69" s="170"/>
      <c r="L69" s="170"/>
      <c r="M69" s="169"/>
      <c r="N69" s="171">
        <f>IF(M69&gt;0,HLOOKUP(F69,Tables!$D$3:$M$22,M69+1,0),0)</f>
        <v>0</v>
      </c>
      <c r="O69" s="172">
        <v>0</v>
      </c>
      <c r="P69" s="172">
        <v>0</v>
      </c>
      <c r="Q69" s="173">
        <f>SUM(O69:P69)</f>
        <v>0</v>
      </c>
    </row>
    <row r="70" spans="1:17" ht="19.95" customHeight="1" x14ac:dyDescent="0.25">
      <c r="A70" s="454"/>
      <c r="B70" s="455"/>
      <c r="C70" s="476"/>
      <c r="D70" s="445" t="s">
        <v>56</v>
      </c>
      <c r="E70" s="445"/>
      <c r="F70" s="174" t="s">
        <v>23</v>
      </c>
      <c r="G70" s="450"/>
      <c r="H70" s="450"/>
      <c r="I70" s="450"/>
      <c r="J70" s="175"/>
      <c r="K70" s="175"/>
      <c r="L70" s="175"/>
      <c r="M70" s="175"/>
      <c r="N70" s="176">
        <f>IF(M70&gt;0,HLOOKUP(F70,Tables!$D$3:$M$22,M70+1,0),0)</f>
        <v>0</v>
      </c>
      <c r="O70" s="177">
        <v>0</v>
      </c>
      <c r="P70" s="177">
        <v>0</v>
      </c>
      <c r="Q70" s="178">
        <f t="shared" ref="Q70:Q72" si="10">SUM(O70:P70)</f>
        <v>0</v>
      </c>
    </row>
    <row r="71" spans="1:17" ht="19.95" customHeight="1" x14ac:dyDescent="0.25">
      <c r="A71" s="454"/>
      <c r="B71" s="455"/>
      <c r="C71" s="476"/>
      <c r="D71" s="445" t="s">
        <v>56</v>
      </c>
      <c r="E71" s="445"/>
      <c r="F71" s="174" t="s">
        <v>23</v>
      </c>
      <c r="G71" s="450"/>
      <c r="H71" s="450"/>
      <c r="I71" s="450"/>
      <c r="J71" s="175"/>
      <c r="K71" s="179"/>
      <c r="L71" s="179"/>
      <c r="M71" s="175"/>
      <c r="N71" s="176">
        <f>IF(M71&gt;0,HLOOKUP(F71,Tables!$D$3:$M$22,M71+1,0),0)</f>
        <v>0</v>
      </c>
      <c r="O71" s="177">
        <v>0</v>
      </c>
      <c r="P71" s="177">
        <v>0</v>
      </c>
      <c r="Q71" s="178">
        <f t="shared" si="10"/>
        <v>0</v>
      </c>
    </row>
    <row r="72" spans="1:17" s="143" customFormat="1" ht="19.95" customHeight="1" thickBot="1" x14ac:dyDescent="0.35">
      <c r="A72" s="456"/>
      <c r="B72" s="457"/>
      <c r="C72" s="477"/>
      <c r="D72" s="447" t="str">
        <f>CONCATENATE(A69," Totals")</f>
        <v>Swimming - Boys Totals</v>
      </c>
      <c r="E72" s="448"/>
      <c r="F72" s="448"/>
      <c r="G72" s="448"/>
      <c r="H72" s="448"/>
      <c r="I72" s="448"/>
      <c r="J72" s="448"/>
      <c r="K72" s="448"/>
      <c r="L72" s="448"/>
      <c r="M72" s="449"/>
      <c r="N72" s="180">
        <f>SUM(N69:N71)</f>
        <v>0</v>
      </c>
      <c r="O72" s="180">
        <f t="shared" ref="O72:P72" si="11">SUM(O69:O71)</f>
        <v>0</v>
      </c>
      <c r="P72" s="180">
        <f t="shared" si="11"/>
        <v>0</v>
      </c>
      <c r="Q72" s="181">
        <f t="shared" si="10"/>
        <v>0</v>
      </c>
    </row>
    <row r="73" spans="1:17" ht="19.95" customHeight="1" x14ac:dyDescent="0.25">
      <c r="A73" s="452" t="s">
        <v>84</v>
      </c>
      <c r="B73" s="453"/>
      <c r="C73" s="475">
        <f>+'HS - Positions and Funding'!B66</f>
        <v>7288</v>
      </c>
      <c r="D73" s="446" t="s">
        <v>57</v>
      </c>
      <c r="E73" s="446"/>
      <c r="F73" s="168" t="s">
        <v>22</v>
      </c>
      <c r="G73" s="451"/>
      <c r="H73" s="451"/>
      <c r="I73" s="451"/>
      <c r="J73" s="169"/>
      <c r="K73" s="170"/>
      <c r="L73" s="170"/>
      <c r="M73" s="169"/>
      <c r="N73" s="171">
        <f>IF(M73&gt;0,HLOOKUP(F73,Tables!$D$3:$M$22,M73+1,0),0)</f>
        <v>0</v>
      </c>
      <c r="O73" s="172">
        <v>0</v>
      </c>
      <c r="P73" s="172">
        <v>0</v>
      </c>
      <c r="Q73" s="173">
        <f>SUM(O73:P73)</f>
        <v>0</v>
      </c>
    </row>
    <row r="74" spans="1:17" ht="19.95" customHeight="1" x14ac:dyDescent="0.25">
      <c r="A74" s="454"/>
      <c r="B74" s="455"/>
      <c r="C74" s="476"/>
      <c r="D74" s="445" t="s">
        <v>56</v>
      </c>
      <c r="E74" s="445"/>
      <c r="F74" s="174" t="s">
        <v>23</v>
      </c>
      <c r="G74" s="450"/>
      <c r="H74" s="450"/>
      <c r="I74" s="450"/>
      <c r="J74" s="175"/>
      <c r="K74" s="175"/>
      <c r="L74" s="175"/>
      <c r="M74" s="175"/>
      <c r="N74" s="176">
        <f>IF(M74&gt;0,HLOOKUP(F74,Tables!$D$3:$M$22,M74+1,0),0)</f>
        <v>0</v>
      </c>
      <c r="O74" s="177">
        <v>0</v>
      </c>
      <c r="P74" s="177">
        <v>0</v>
      </c>
      <c r="Q74" s="178">
        <f t="shared" ref="Q74:Q76" si="12">SUM(O74:P74)</f>
        <v>0</v>
      </c>
    </row>
    <row r="75" spans="1:17" ht="19.95" customHeight="1" x14ac:dyDescent="0.25">
      <c r="A75" s="454"/>
      <c r="B75" s="455"/>
      <c r="C75" s="476"/>
      <c r="D75" s="445" t="s">
        <v>56</v>
      </c>
      <c r="E75" s="445"/>
      <c r="F75" s="174" t="s">
        <v>23</v>
      </c>
      <c r="G75" s="450"/>
      <c r="H75" s="450"/>
      <c r="I75" s="450"/>
      <c r="J75" s="175"/>
      <c r="K75" s="179"/>
      <c r="L75" s="179"/>
      <c r="M75" s="175"/>
      <c r="N75" s="176">
        <f>IF(M75&gt;0,HLOOKUP(F75,Tables!$D$3:$M$22,M75+1,0),0)</f>
        <v>0</v>
      </c>
      <c r="O75" s="177">
        <v>0</v>
      </c>
      <c r="P75" s="177">
        <v>0</v>
      </c>
      <c r="Q75" s="178">
        <f t="shared" si="12"/>
        <v>0</v>
      </c>
    </row>
    <row r="76" spans="1:17" s="143" customFormat="1" ht="19.95" customHeight="1" thickBot="1" x14ac:dyDescent="0.35">
      <c r="A76" s="456"/>
      <c r="B76" s="457"/>
      <c r="C76" s="477"/>
      <c r="D76" s="447" t="str">
        <f>CONCATENATE(A73," Totals")</f>
        <v>Swimming - Girls Totals</v>
      </c>
      <c r="E76" s="448"/>
      <c r="F76" s="448"/>
      <c r="G76" s="448"/>
      <c r="H76" s="448"/>
      <c r="I76" s="448"/>
      <c r="J76" s="448"/>
      <c r="K76" s="448"/>
      <c r="L76" s="448"/>
      <c r="M76" s="449"/>
      <c r="N76" s="180">
        <f>SUM(N73:N75)</f>
        <v>0</v>
      </c>
      <c r="O76" s="180">
        <f>SUM(O73:O75)</f>
        <v>0</v>
      </c>
      <c r="P76" s="180">
        <f>SUM(P73:P75)</f>
        <v>0</v>
      </c>
      <c r="Q76" s="181">
        <f t="shared" si="12"/>
        <v>0</v>
      </c>
    </row>
    <row r="77" spans="1:17" s="143" customFormat="1" ht="19.95" customHeight="1" x14ac:dyDescent="0.25">
      <c r="A77" s="452" t="s">
        <v>225</v>
      </c>
      <c r="B77" s="453"/>
      <c r="C77" s="475">
        <f>+'HS - Positions and Funding'!B84</f>
        <v>12894</v>
      </c>
      <c r="D77" s="446" t="s">
        <v>57</v>
      </c>
      <c r="E77" s="446"/>
      <c r="F77" s="168" t="s">
        <v>22</v>
      </c>
      <c r="G77" s="451"/>
      <c r="H77" s="451"/>
      <c r="I77" s="451"/>
      <c r="J77" s="169"/>
      <c r="K77" s="170"/>
      <c r="L77" s="170"/>
      <c r="M77" s="169"/>
      <c r="N77" s="171">
        <f>IF(M77&gt;0,HLOOKUP(F77,Tables!$D$3:$M$22,M77+1,0),0)</f>
        <v>0</v>
      </c>
      <c r="O77" s="172">
        <v>0</v>
      </c>
      <c r="P77" s="172">
        <v>0</v>
      </c>
      <c r="Q77" s="173">
        <f>SUM(O77:P77)</f>
        <v>0</v>
      </c>
    </row>
    <row r="78" spans="1:17" s="143" customFormat="1" ht="19.95" customHeight="1" x14ac:dyDescent="0.25">
      <c r="A78" s="454"/>
      <c r="B78" s="455"/>
      <c r="C78" s="476"/>
      <c r="D78" s="445" t="s">
        <v>56</v>
      </c>
      <c r="E78" s="445"/>
      <c r="F78" s="174" t="s">
        <v>23</v>
      </c>
      <c r="G78" s="450"/>
      <c r="H78" s="450"/>
      <c r="I78" s="450"/>
      <c r="J78" s="175"/>
      <c r="K78" s="175"/>
      <c r="L78" s="175"/>
      <c r="M78" s="175"/>
      <c r="N78" s="176">
        <f>IF(M78&gt;0,HLOOKUP(F78,Tables!$D$3:$M$22,M78+1,0),0)</f>
        <v>0</v>
      </c>
      <c r="O78" s="177">
        <v>0</v>
      </c>
      <c r="P78" s="177">
        <v>0</v>
      </c>
      <c r="Q78" s="178">
        <f t="shared" ref="Q78" si="13">SUM(O78:P78)</f>
        <v>0</v>
      </c>
    </row>
    <row r="79" spans="1:17" s="143" customFormat="1" ht="19.95" customHeight="1" x14ac:dyDescent="0.25">
      <c r="A79" s="454"/>
      <c r="B79" s="455"/>
      <c r="C79" s="476"/>
      <c r="D79" s="445" t="s">
        <v>56</v>
      </c>
      <c r="E79" s="445"/>
      <c r="F79" s="174" t="s">
        <v>23</v>
      </c>
      <c r="G79" s="450"/>
      <c r="H79" s="450"/>
      <c r="I79" s="450"/>
      <c r="J79" s="175"/>
      <c r="K79" s="175"/>
      <c r="L79" s="175"/>
      <c r="M79" s="175"/>
      <c r="N79" s="176">
        <f>IF(M79&gt;0,HLOOKUP(F79,Tables!$D$3:$M$22,M79+1,0),0)</f>
        <v>0</v>
      </c>
      <c r="O79" s="177">
        <v>0</v>
      </c>
      <c r="P79" s="177">
        <v>0</v>
      </c>
      <c r="Q79" s="178">
        <f t="shared" ref="Q79:Q80" si="14">SUM(O79:P79)</f>
        <v>0</v>
      </c>
    </row>
    <row r="80" spans="1:17" s="143" customFormat="1" ht="19.95" customHeight="1" x14ac:dyDescent="0.25">
      <c r="A80" s="454"/>
      <c r="B80" s="455"/>
      <c r="C80" s="476"/>
      <c r="D80" s="445" t="s">
        <v>56</v>
      </c>
      <c r="E80" s="445"/>
      <c r="F80" s="174" t="s">
        <v>23</v>
      </c>
      <c r="G80" s="450"/>
      <c r="H80" s="450"/>
      <c r="I80" s="450"/>
      <c r="J80" s="175"/>
      <c r="K80" s="175"/>
      <c r="L80" s="175"/>
      <c r="M80" s="175"/>
      <c r="N80" s="176">
        <f>IF(M80&gt;0,HLOOKUP(F80,Tables!$D$3:$M$22,M80+1,0),0)</f>
        <v>0</v>
      </c>
      <c r="O80" s="177">
        <v>0</v>
      </c>
      <c r="P80" s="177">
        <v>0</v>
      </c>
      <c r="Q80" s="178">
        <f t="shared" si="14"/>
        <v>0</v>
      </c>
    </row>
    <row r="81" spans="1:17" s="143" customFormat="1" ht="19.95" customHeight="1" x14ac:dyDescent="0.25">
      <c r="A81" s="454"/>
      <c r="B81" s="455"/>
      <c r="C81" s="476"/>
      <c r="D81" s="445" t="s">
        <v>56</v>
      </c>
      <c r="E81" s="445"/>
      <c r="F81" s="174" t="s">
        <v>23</v>
      </c>
      <c r="G81" s="450"/>
      <c r="H81" s="450"/>
      <c r="I81" s="450"/>
      <c r="J81" s="175"/>
      <c r="K81" s="175"/>
      <c r="L81" s="175"/>
      <c r="M81" s="175"/>
      <c r="N81" s="176">
        <f>IF(M81&gt;0,HLOOKUP(F81,Tables!$D$3:$M$22,M81+1,0),0)</f>
        <v>0</v>
      </c>
      <c r="O81" s="177">
        <v>0</v>
      </c>
      <c r="P81" s="177">
        <v>0</v>
      </c>
      <c r="Q81" s="178">
        <f t="shared" ref="Q81" si="15">SUM(O81:P81)</f>
        <v>0</v>
      </c>
    </row>
    <row r="82" spans="1:17" s="143" customFormat="1" ht="19.95" customHeight="1" x14ac:dyDescent="0.25">
      <c r="A82" s="454"/>
      <c r="B82" s="455"/>
      <c r="C82" s="476"/>
      <c r="D82" s="445" t="s">
        <v>56</v>
      </c>
      <c r="E82" s="445"/>
      <c r="F82" s="174" t="s">
        <v>23</v>
      </c>
      <c r="G82" s="450"/>
      <c r="H82" s="450"/>
      <c r="I82" s="450"/>
      <c r="J82" s="175"/>
      <c r="K82" s="175"/>
      <c r="L82" s="175"/>
      <c r="M82" s="175"/>
      <c r="N82" s="176">
        <f>IF(M82&gt;0,HLOOKUP(F82,Tables!$D$3:$M$22,M82+1,0),0)</f>
        <v>0</v>
      </c>
      <c r="O82" s="177">
        <v>0</v>
      </c>
      <c r="P82" s="177">
        <v>0</v>
      </c>
      <c r="Q82" s="178">
        <f t="shared" ref="Q82" si="16">SUM(O82:P82)</f>
        <v>0</v>
      </c>
    </row>
    <row r="83" spans="1:17" s="143" customFormat="1" ht="19.95" customHeight="1" x14ac:dyDescent="0.25">
      <c r="A83" s="454"/>
      <c r="B83" s="455"/>
      <c r="C83" s="476"/>
      <c r="D83" s="445" t="s">
        <v>56</v>
      </c>
      <c r="E83" s="445"/>
      <c r="F83" s="174" t="s">
        <v>23</v>
      </c>
      <c r="G83" s="450"/>
      <c r="H83" s="450"/>
      <c r="I83" s="450"/>
      <c r="J83" s="175"/>
      <c r="K83" s="175"/>
      <c r="L83" s="175"/>
      <c r="M83" s="175"/>
      <c r="N83" s="176">
        <f>IF(M83&gt;0,HLOOKUP(F83,Tables!$D$3:$M$22,M83+1,0),0)</f>
        <v>0</v>
      </c>
      <c r="O83" s="177">
        <v>0</v>
      </c>
      <c r="P83" s="177">
        <v>0</v>
      </c>
      <c r="Q83" s="178">
        <f t="shared" ref="Q83" si="17">SUM(O83:P83)</f>
        <v>0</v>
      </c>
    </row>
    <row r="84" spans="1:17" s="143" customFormat="1" ht="19.95" customHeight="1" x14ac:dyDescent="0.25">
      <c r="A84" s="454"/>
      <c r="B84" s="455"/>
      <c r="C84" s="476"/>
      <c r="D84" s="445" t="s">
        <v>56</v>
      </c>
      <c r="E84" s="445"/>
      <c r="F84" s="174" t="s">
        <v>23</v>
      </c>
      <c r="G84" s="450"/>
      <c r="H84" s="450"/>
      <c r="I84" s="450"/>
      <c r="J84" s="175"/>
      <c r="K84" s="179"/>
      <c r="L84" s="179"/>
      <c r="M84" s="175"/>
      <c r="N84" s="176">
        <f>IF(M84&gt;0,HLOOKUP(F84,Tables!$D$3:$M$22,M84+1,0),0)</f>
        <v>0</v>
      </c>
      <c r="O84" s="177">
        <v>0</v>
      </c>
      <c r="P84" s="177">
        <v>0</v>
      </c>
      <c r="Q84" s="178">
        <f t="shared" ref="Q84:Q85" si="18">SUM(O84:P84)</f>
        <v>0</v>
      </c>
    </row>
    <row r="85" spans="1:17" s="143" customFormat="1" ht="19.95" customHeight="1" thickBot="1" x14ac:dyDescent="0.35">
      <c r="A85" s="456"/>
      <c r="B85" s="457"/>
      <c r="C85" s="477"/>
      <c r="D85" s="447" t="str">
        <f>CONCATENATE(A77," Totals")</f>
        <v>Wrestling - Boys Totals</v>
      </c>
      <c r="E85" s="448"/>
      <c r="F85" s="448"/>
      <c r="G85" s="448"/>
      <c r="H85" s="448"/>
      <c r="I85" s="448"/>
      <c r="J85" s="448"/>
      <c r="K85" s="448"/>
      <c r="L85" s="448"/>
      <c r="M85" s="449"/>
      <c r="N85" s="180">
        <f>SUM(N77:N84)</f>
        <v>0</v>
      </c>
      <c r="O85" s="180">
        <f t="shared" ref="O85:P85" si="19">SUM(O77:O84)</f>
        <v>0</v>
      </c>
      <c r="P85" s="180">
        <f t="shared" si="19"/>
        <v>0</v>
      </c>
      <c r="Q85" s="181">
        <f t="shared" si="18"/>
        <v>0</v>
      </c>
    </row>
    <row r="86" spans="1:17" ht="19.95" customHeight="1" x14ac:dyDescent="0.25">
      <c r="A86" s="452" t="s">
        <v>226</v>
      </c>
      <c r="B86" s="453"/>
      <c r="C86" s="475">
        <f>+'HS - Positions and Funding'!B86</f>
        <v>12894</v>
      </c>
      <c r="D86" s="446" t="s">
        <v>57</v>
      </c>
      <c r="E86" s="446"/>
      <c r="F86" s="168" t="s">
        <v>22</v>
      </c>
      <c r="G86" s="451"/>
      <c r="H86" s="451"/>
      <c r="I86" s="451"/>
      <c r="J86" s="169"/>
      <c r="K86" s="170"/>
      <c r="L86" s="170"/>
      <c r="M86" s="169"/>
      <c r="N86" s="171">
        <f>IF(M86&gt;0,HLOOKUP(F86,Tables!$D$3:$M$22,M86+1,0),0)</f>
        <v>0</v>
      </c>
      <c r="O86" s="259">
        <v>0</v>
      </c>
      <c r="P86" s="259">
        <v>0</v>
      </c>
      <c r="Q86" s="260">
        <f>SUM(O86:P86)</f>
        <v>0</v>
      </c>
    </row>
    <row r="87" spans="1:17" ht="19.95" customHeight="1" x14ac:dyDescent="0.25">
      <c r="A87" s="494"/>
      <c r="B87" s="495"/>
      <c r="C87" s="496"/>
      <c r="D87" s="445" t="s">
        <v>56</v>
      </c>
      <c r="E87" s="445"/>
      <c r="F87" s="174" t="s">
        <v>23</v>
      </c>
      <c r="G87" s="450"/>
      <c r="H87" s="450"/>
      <c r="I87" s="450"/>
      <c r="J87" s="175"/>
      <c r="K87" s="175"/>
      <c r="L87" s="175"/>
      <c r="M87" s="175"/>
      <c r="N87" s="176">
        <f>IF(M87&gt;0,HLOOKUP(F87,Tables!$D$3:$M$22,M87+1,0),0)</f>
        <v>0</v>
      </c>
      <c r="O87" s="177">
        <v>0</v>
      </c>
      <c r="P87" s="177">
        <v>0</v>
      </c>
      <c r="Q87" s="178">
        <f>SUM(O87:P87)</f>
        <v>0</v>
      </c>
    </row>
    <row r="88" spans="1:17" ht="19.95" customHeight="1" x14ac:dyDescent="0.25">
      <c r="A88" s="494"/>
      <c r="B88" s="495"/>
      <c r="C88" s="496"/>
      <c r="D88" s="445" t="s">
        <v>56</v>
      </c>
      <c r="E88" s="445"/>
      <c r="F88" s="174" t="s">
        <v>23</v>
      </c>
      <c r="G88" s="450"/>
      <c r="H88" s="450"/>
      <c r="I88" s="450"/>
      <c r="J88" s="175"/>
      <c r="K88" s="175"/>
      <c r="L88" s="175"/>
      <c r="M88" s="175"/>
      <c r="N88" s="176">
        <f>IF(M88&gt;0,HLOOKUP(F88,Tables!$D$3:$M$22,M88+1,0),0)</f>
        <v>0</v>
      </c>
      <c r="O88" s="177">
        <v>0</v>
      </c>
      <c r="P88" s="177">
        <v>0</v>
      </c>
      <c r="Q88" s="178">
        <f t="shared" ref="Q88:Q92" si="20">SUM(O88:P88)</f>
        <v>0</v>
      </c>
    </row>
    <row r="89" spans="1:17" ht="19.95" customHeight="1" x14ac:dyDescent="0.25">
      <c r="A89" s="494"/>
      <c r="B89" s="495"/>
      <c r="C89" s="496"/>
      <c r="D89" s="445" t="s">
        <v>56</v>
      </c>
      <c r="E89" s="445"/>
      <c r="F89" s="174" t="s">
        <v>23</v>
      </c>
      <c r="G89" s="450"/>
      <c r="H89" s="450"/>
      <c r="I89" s="450"/>
      <c r="J89" s="175"/>
      <c r="K89" s="175"/>
      <c r="L89" s="175"/>
      <c r="M89" s="175"/>
      <c r="N89" s="176">
        <f>IF(M89&gt;0,HLOOKUP(F89,Tables!$D$3:$M$22,M89+1,0),0)</f>
        <v>0</v>
      </c>
      <c r="O89" s="177">
        <v>0</v>
      </c>
      <c r="P89" s="177">
        <v>0</v>
      </c>
      <c r="Q89" s="178">
        <f t="shared" si="20"/>
        <v>0</v>
      </c>
    </row>
    <row r="90" spans="1:17" ht="19.95" customHeight="1" x14ac:dyDescent="0.25">
      <c r="A90" s="494"/>
      <c r="B90" s="495"/>
      <c r="C90" s="496"/>
      <c r="D90" s="445" t="s">
        <v>56</v>
      </c>
      <c r="E90" s="445"/>
      <c r="F90" s="174" t="s">
        <v>23</v>
      </c>
      <c r="G90" s="450"/>
      <c r="H90" s="450"/>
      <c r="I90" s="450"/>
      <c r="J90" s="175"/>
      <c r="K90" s="175"/>
      <c r="L90" s="175"/>
      <c r="M90" s="175"/>
      <c r="N90" s="176">
        <f>IF(M90&gt;0,HLOOKUP(F90,Tables!$D$3:$M$22,M90+1,0),0)</f>
        <v>0</v>
      </c>
      <c r="O90" s="177">
        <v>0</v>
      </c>
      <c r="P90" s="177">
        <v>0</v>
      </c>
      <c r="Q90" s="178">
        <f t="shared" si="20"/>
        <v>0</v>
      </c>
    </row>
    <row r="91" spans="1:17" ht="19.95" customHeight="1" x14ac:dyDescent="0.25">
      <c r="A91" s="494"/>
      <c r="B91" s="495"/>
      <c r="C91" s="496"/>
      <c r="D91" s="445" t="s">
        <v>56</v>
      </c>
      <c r="E91" s="445"/>
      <c r="F91" s="174" t="s">
        <v>23</v>
      </c>
      <c r="G91" s="450"/>
      <c r="H91" s="450"/>
      <c r="I91" s="450"/>
      <c r="J91" s="175"/>
      <c r="K91" s="175"/>
      <c r="L91" s="175"/>
      <c r="M91" s="175"/>
      <c r="N91" s="176">
        <f>IF(M91&gt;0,HLOOKUP(F91,Tables!$D$3:$M$22,M91+1,0),0)</f>
        <v>0</v>
      </c>
      <c r="O91" s="177">
        <v>0</v>
      </c>
      <c r="P91" s="177">
        <v>0</v>
      </c>
      <c r="Q91" s="178">
        <f t="shared" si="20"/>
        <v>0</v>
      </c>
    </row>
    <row r="92" spans="1:17" ht="19.95" customHeight="1" x14ac:dyDescent="0.25">
      <c r="A92" s="494"/>
      <c r="B92" s="495"/>
      <c r="C92" s="496"/>
      <c r="D92" s="445" t="s">
        <v>56</v>
      </c>
      <c r="E92" s="445"/>
      <c r="F92" s="174" t="s">
        <v>23</v>
      </c>
      <c r="G92" s="450"/>
      <c r="H92" s="450"/>
      <c r="I92" s="450"/>
      <c r="J92" s="175"/>
      <c r="K92" s="175"/>
      <c r="L92" s="175"/>
      <c r="M92" s="175"/>
      <c r="N92" s="176">
        <f>IF(M92&gt;0,HLOOKUP(F92,Tables!$D$3:$M$22,M92+1,0),0)</f>
        <v>0</v>
      </c>
      <c r="O92" s="177">
        <v>0</v>
      </c>
      <c r="P92" s="177">
        <v>0</v>
      </c>
      <c r="Q92" s="178">
        <f t="shared" si="20"/>
        <v>0</v>
      </c>
    </row>
    <row r="93" spans="1:17" ht="19.95" customHeight="1" x14ac:dyDescent="0.25">
      <c r="A93" s="454"/>
      <c r="B93" s="455"/>
      <c r="C93" s="476"/>
      <c r="D93" s="445" t="s">
        <v>56</v>
      </c>
      <c r="E93" s="445"/>
      <c r="F93" s="174" t="s">
        <v>23</v>
      </c>
      <c r="G93" s="450"/>
      <c r="H93" s="450"/>
      <c r="I93" s="450"/>
      <c r="J93" s="175"/>
      <c r="K93" s="175"/>
      <c r="L93" s="175"/>
      <c r="M93" s="175"/>
      <c r="N93" s="176">
        <f>IF(M93&gt;0,HLOOKUP(F93,Tables!$D$3:$M$22,M93+1,0),0)</f>
        <v>0</v>
      </c>
      <c r="O93" s="177">
        <v>0</v>
      </c>
      <c r="P93" s="177">
        <v>0</v>
      </c>
      <c r="Q93" s="178">
        <f t="shared" ref="Q93" si="21">SUM(O93:P93)</f>
        <v>0</v>
      </c>
    </row>
    <row r="94" spans="1:17" s="143" customFormat="1" ht="19.95" customHeight="1" thickBot="1" x14ac:dyDescent="0.35">
      <c r="A94" s="456"/>
      <c r="B94" s="457"/>
      <c r="C94" s="477"/>
      <c r="D94" s="447" t="str">
        <f>CONCATENATE(A86," Totals")</f>
        <v>Wrestling - Girls Totals</v>
      </c>
      <c r="E94" s="448"/>
      <c r="F94" s="448"/>
      <c r="G94" s="448"/>
      <c r="H94" s="448"/>
      <c r="I94" s="448"/>
      <c r="J94" s="448"/>
      <c r="K94" s="448"/>
      <c r="L94" s="448"/>
      <c r="M94" s="449"/>
      <c r="N94" s="180">
        <f>SUM(N86:N93)</f>
        <v>0</v>
      </c>
      <c r="O94" s="180">
        <f>SUM(O86:O93)</f>
        <v>0</v>
      </c>
      <c r="P94" s="180">
        <f>SUM(P86:P93)</f>
        <v>0</v>
      </c>
      <c r="Q94" s="181">
        <f t="shared" ref="Q94" si="22">SUM(O94:P94)</f>
        <v>0</v>
      </c>
    </row>
    <row r="95" spans="1:17" s="142" customFormat="1" ht="19.95" customHeight="1" thickBot="1" x14ac:dyDescent="0.35">
      <c r="A95" s="182"/>
      <c r="B95" s="183"/>
      <c r="C95" s="183"/>
      <c r="D95" s="183"/>
      <c r="E95" s="183"/>
      <c r="F95" s="183"/>
      <c r="G95" s="183"/>
      <c r="H95" s="183"/>
      <c r="I95" s="183"/>
      <c r="J95" s="183"/>
      <c r="K95" s="183"/>
      <c r="L95" s="183"/>
      <c r="M95" s="184" t="s">
        <v>134</v>
      </c>
      <c r="N95" s="185">
        <f>+N94+N76+N72+N68+N58+N85</f>
        <v>0</v>
      </c>
      <c r="O95" s="185">
        <f>+O94+O76+O72+O68+O58+O85</f>
        <v>0</v>
      </c>
      <c r="P95" s="185">
        <f>+P94+P76+P72+P68+P58+P85</f>
        <v>0</v>
      </c>
      <c r="Q95" s="186">
        <f>+Q94+Q76+Q72+Q68+Q58+Q85</f>
        <v>0</v>
      </c>
    </row>
    <row r="96" spans="1:17" ht="12.75" customHeight="1" x14ac:dyDescent="0.25">
      <c r="A96" s="152" t="s">
        <v>178</v>
      </c>
      <c r="B96" s="11"/>
      <c r="C96" s="11"/>
      <c r="D96" s="11"/>
      <c r="E96" s="11"/>
      <c r="F96" s="11"/>
      <c r="G96" s="11"/>
      <c r="H96" s="11"/>
      <c r="I96" s="11"/>
      <c r="J96" s="11"/>
      <c r="K96" s="11"/>
      <c r="L96" s="11"/>
      <c r="M96" s="11"/>
      <c r="N96" s="11"/>
      <c r="O96" s="11"/>
      <c r="P96" s="11"/>
      <c r="Q96" s="132"/>
    </row>
    <row r="97" spans="1:17" ht="12.75" customHeight="1" x14ac:dyDescent="0.25">
      <c r="A97" s="153" t="s">
        <v>170</v>
      </c>
      <c r="B97" s="19"/>
      <c r="C97" s="19"/>
      <c r="D97" s="19"/>
      <c r="E97" s="19"/>
      <c r="F97" s="19"/>
      <c r="G97" s="19"/>
      <c r="H97" s="19"/>
      <c r="I97" s="19"/>
      <c r="J97" s="19"/>
      <c r="K97" s="19"/>
      <c r="L97" s="19"/>
      <c r="M97" s="19"/>
      <c r="N97" s="19"/>
      <c r="O97" s="19"/>
      <c r="P97" s="19"/>
      <c r="Q97" s="29"/>
    </row>
    <row r="98" spans="1:17" ht="12.75" customHeight="1" x14ac:dyDescent="0.25">
      <c r="A98" s="154" t="s">
        <v>179</v>
      </c>
      <c r="B98" s="19"/>
      <c r="C98" s="19"/>
      <c r="D98" s="19"/>
      <c r="E98" s="19"/>
      <c r="F98" s="19"/>
      <c r="G98" s="19"/>
      <c r="H98" s="19"/>
      <c r="I98" s="19"/>
      <c r="J98" s="19"/>
      <c r="K98" s="19"/>
      <c r="L98" s="19"/>
      <c r="M98" s="19"/>
      <c r="N98" s="19"/>
      <c r="O98" s="19"/>
      <c r="P98" s="19"/>
      <c r="Q98" s="29"/>
    </row>
    <row r="99" spans="1:17" ht="12.75" customHeight="1" x14ac:dyDescent="0.25">
      <c r="A99" s="154" t="s">
        <v>207</v>
      </c>
      <c r="B99" s="19"/>
      <c r="C99" s="19"/>
      <c r="D99" s="19"/>
      <c r="E99" s="19"/>
      <c r="F99" s="19"/>
      <c r="G99" s="19"/>
      <c r="H99" s="19"/>
      <c r="I99" s="19"/>
      <c r="J99" s="19"/>
      <c r="K99" s="19"/>
      <c r="L99" s="19"/>
      <c r="M99" s="19"/>
      <c r="N99" s="19"/>
      <c r="O99" s="19"/>
      <c r="P99" s="19"/>
      <c r="Q99" s="29"/>
    </row>
    <row r="100" spans="1:17" ht="12.75" customHeight="1" x14ac:dyDescent="0.25">
      <c r="A100" s="154" t="s">
        <v>208</v>
      </c>
      <c r="B100" s="19"/>
      <c r="C100" s="19"/>
      <c r="D100" s="19"/>
      <c r="E100" s="19"/>
      <c r="F100" s="19"/>
      <c r="G100" s="19"/>
      <c r="H100" s="19"/>
      <c r="I100" s="19"/>
      <c r="J100" s="19"/>
      <c r="K100" s="19"/>
      <c r="L100" s="19"/>
      <c r="M100" s="19"/>
      <c r="N100" s="19"/>
      <c r="O100" s="19"/>
      <c r="P100" s="19"/>
      <c r="Q100" s="29"/>
    </row>
    <row r="101" spans="1:17" x14ac:dyDescent="0.25">
      <c r="A101" s="153" t="s">
        <v>171</v>
      </c>
      <c r="B101" s="19"/>
      <c r="C101" s="19"/>
      <c r="D101" s="19"/>
      <c r="E101" s="19"/>
      <c r="F101" s="19"/>
      <c r="G101" s="19"/>
      <c r="H101" s="19"/>
      <c r="I101" s="19"/>
      <c r="J101" s="19"/>
      <c r="K101" s="19"/>
      <c r="L101" s="19"/>
      <c r="M101" s="19"/>
      <c r="N101" s="19"/>
      <c r="O101" s="19"/>
      <c r="P101" s="19"/>
      <c r="Q101" s="29"/>
    </row>
    <row r="102" spans="1:17" x14ac:dyDescent="0.25">
      <c r="A102" s="154" t="s">
        <v>182</v>
      </c>
      <c r="B102" s="19"/>
      <c r="C102" s="19"/>
      <c r="D102" s="19"/>
      <c r="E102" s="19"/>
      <c r="F102" s="19"/>
      <c r="G102" s="19"/>
      <c r="H102" s="19"/>
      <c r="I102" s="19"/>
      <c r="J102" s="19"/>
      <c r="K102" s="19"/>
      <c r="L102" s="19"/>
      <c r="M102" s="19"/>
      <c r="N102" s="19"/>
      <c r="O102" s="19"/>
      <c r="P102" s="19"/>
      <c r="Q102" s="29"/>
    </row>
    <row r="103" spans="1:17" x14ac:dyDescent="0.25">
      <c r="A103" s="155" t="s">
        <v>177</v>
      </c>
      <c r="B103" s="19"/>
      <c r="C103" s="19"/>
      <c r="D103" s="19"/>
      <c r="E103" s="19"/>
      <c r="F103" s="19"/>
      <c r="G103" s="19"/>
      <c r="H103" s="19"/>
      <c r="I103" s="19"/>
      <c r="J103" s="19"/>
      <c r="K103" s="19"/>
      <c r="L103" s="19"/>
      <c r="M103" s="19"/>
      <c r="N103" s="19"/>
      <c r="O103" s="19"/>
      <c r="P103" s="19"/>
      <c r="Q103" s="29"/>
    </row>
    <row r="104" spans="1:17" x14ac:dyDescent="0.25">
      <c r="A104" s="155" t="s">
        <v>209</v>
      </c>
      <c r="B104" s="19"/>
      <c r="C104" s="19"/>
      <c r="D104" s="19"/>
      <c r="E104" s="19"/>
      <c r="F104" s="19"/>
      <c r="G104" s="19"/>
      <c r="H104" s="19"/>
      <c r="I104" s="19"/>
      <c r="J104" s="19"/>
      <c r="K104" s="19"/>
      <c r="L104" s="19"/>
      <c r="M104" s="19"/>
      <c r="N104" s="19"/>
      <c r="O104" s="19"/>
      <c r="P104" s="19"/>
      <c r="Q104" s="29"/>
    </row>
    <row r="105" spans="1:17" x14ac:dyDescent="0.25">
      <c r="A105" s="156" t="s">
        <v>172</v>
      </c>
      <c r="B105" s="19"/>
      <c r="C105" s="19"/>
      <c r="D105" s="19"/>
      <c r="E105" s="19"/>
      <c r="F105" s="19"/>
      <c r="G105" s="19"/>
      <c r="H105" s="19"/>
      <c r="I105" s="19"/>
      <c r="J105" s="19"/>
      <c r="K105" s="19"/>
      <c r="L105" s="19"/>
      <c r="M105" s="19"/>
      <c r="N105" s="19"/>
      <c r="O105" s="19"/>
      <c r="P105" s="19"/>
      <c r="Q105" s="29"/>
    </row>
    <row r="106" spans="1:17" x14ac:dyDescent="0.25">
      <c r="A106" s="155" t="s">
        <v>211</v>
      </c>
      <c r="B106" s="19"/>
      <c r="C106" s="19"/>
      <c r="D106" s="19"/>
      <c r="E106" s="19"/>
      <c r="F106" s="19"/>
      <c r="G106" s="19"/>
      <c r="H106" s="19"/>
      <c r="I106" s="19"/>
      <c r="J106" s="19"/>
      <c r="K106" s="19"/>
      <c r="L106" s="19"/>
      <c r="M106" s="19"/>
      <c r="N106" s="19"/>
      <c r="O106" s="19"/>
      <c r="P106" s="19"/>
      <c r="Q106" s="29"/>
    </row>
    <row r="107" spans="1:17" x14ac:dyDescent="0.25">
      <c r="A107" s="155" t="s">
        <v>210</v>
      </c>
      <c r="B107" s="19"/>
      <c r="C107" s="19"/>
      <c r="D107" s="19"/>
      <c r="E107" s="19"/>
      <c r="F107" s="19"/>
      <c r="G107" s="19"/>
      <c r="H107" s="19"/>
      <c r="I107" s="19"/>
      <c r="J107" s="19"/>
      <c r="K107" s="19"/>
      <c r="L107" s="19"/>
      <c r="M107" s="19"/>
      <c r="N107" s="19"/>
      <c r="O107" s="19"/>
      <c r="P107" s="19"/>
      <c r="Q107" s="29"/>
    </row>
    <row r="108" spans="1:17" x14ac:dyDescent="0.25">
      <c r="A108" s="156" t="s">
        <v>173</v>
      </c>
      <c r="B108" s="19"/>
      <c r="C108" s="19"/>
      <c r="D108" s="19"/>
      <c r="E108" s="19"/>
      <c r="F108" s="19"/>
      <c r="G108" s="19"/>
      <c r="H108" s="19"/>
      <c r="I108" s="19"/>
      <c r="J108" s="19"/>
      <c r="K108" s="19"/>
      <c r="L108" s="19"/>
      <c r="M108" s="19"/>
      <c r="N108" s="19"/>
      <c r="O108" s="19"/>
      <c r="P108" s="19"/>
      <c r="Q108" s="29"/>
    </row>
    <row r="109" spans="1:17" x14ac:dyDescent="0.25">
      <c r="A109" s="155" t="s">
        <v>181</v>
      </c>
      <c r="B109" s="19"/>
      <c r="C109" s="19"/>
      <c r="D109" s="19"/>
      <c r="E109" s="19"/>
      <c r="F109" s="19"/>
      <c r="G109" s="19"/>
      <c r="H109" s="19"/>
      <c r="I109" s="19"/>
      <c r="J109" s="19"/>
      <c r="K109" s="19"/>
      <c r="L109" s="19"/>
      <c r="M109" s="19"/>
      <c r="N109" s="19"/>
      <c r="O109" s="19"/>
      <c r="P109" s="19"/>
      <c r="Q109" s="29"/>
    </row>
    <row r="110" spans="1:17" x14ac:dyDescent="0.25">
      <c r="A110" s="155" t="s">
        <v>176</v>
      </c>
      <c r="B110" s="19"/>
      <c r="C110" s="19"/>
      <c r="D110" s="19"/>
      <c r="E110" s="19"/>
      <c r="F110" s="19"/>
      <c r="G110" s="19"/>
      <c r="H110" s="19"/>
      <c r="I110" s="19"/>
      <c r="J110" s="19"/>
      <c r="K110" s="19"/>
      <c r="L110" s="19"/>
      <c r="M110" s="19"/>
      <c r="N110" s="19"/>
      <c r="O110" s="19"/>
      <c r="P110" s="19"/>
      <c r="Q110" s="29"/>
    </row>
    <row r="111" spans="1:17" x14ac:dyDescent="0.25">
      <c r="A111" s="155" t="s">
        <v>212</v>
      </c>
      <c r="B111" s="19"/>
      <c r="C111" s="19"/>
      <c r="D111" s="19"/>
      <c r="E111" s="19"/>
      <c r="F111" s="19"/>
      <c r="G111" s="19"/>
      <c r="H111" s="19"/>
      <c r="I111" s="19"/>
      <c r="J111" s="19"/>
      <c r="K111" s="19"/>
      <c r="L111" s="19"/>
      <c r="M111" s="19"/>
      <c r="N111" s="19"/>
      <c r="O111" s="19"/>
      <c r="P111" s="19"/>
      <c r="Q111" s="29"/>
    </row>
    <row r="112" spans="1:17" x14ac:dyDescent="0.25">
      <c r="A112" s="156" t="s">
        <v>174</v>
      </c>
      <c r="B112" s="19"/>
      <c r="C112" s="19"/>
      <c r="D112" s="19"/>
      <c r="E112" s="19"/>
      <c r="F112" s="19"/>
      <c r="G112" s="19"/>
      <c r="H112" s="19"/>
      <c r="I112" s="19"/>
      <c r="J112" s="19"/>
      <c r="K112" s="19"/>
      <c r="L112" s="19"/>
      <c r="M112" s="19"/>
      <c r="N112" s="19"/>
      <c r="O112" s="19"/>
      <c r="P112" s="19"/>
      <c r="Q112" s="29"/>
    </row>
    <row r="113" spans="1:17" x14ac:dyDescent="0.25">
      <c r="A113" s="155" t="s">
        <v>213</v>
      </c>
      <c r="B113" s="19"/>
      <c r="C113" s="19"/>
      <c r="D113" s="19"/>
      <c r="E113" s="19"/>
      <c r="F113" s="19"/>
      <c r="G113" s="19"/>
      <c r="H113" s="19"/>
      <c r="I113" s="19"/>
      <c r="J113" s="19"/>
      <c r="K113" s="19"/>
      <c r="L113" s="19"/>
      <c r="M113" s="19"/>
      <c r="N113" s="19"/>
      <c r="O113" s="19"/>
      <c r="P113" s="19"/>
      <c r="Q113" s="29"/>
    </row>
    <row r="114" spans="1:17" x14ac:dyDescent="0.25">
      <c r="A114" s="155" t="s">
        <v>214</v>
      </c>
      <c r="B114" s="19"/>
      <c r="C114" s="19"/>
      <c r="D114" s="19"/>
      <c r="E114" s="19"/>
      <c r="F114" s="19"/>
      <c r="G114" s="19"/>
      <c r="H114" s="19"/>
      <c r="I114" s="19"/>
      <c r="J114" s="19"/>
      <c r="K114" s="19"/>
      <c r="L114" s="19"/>
      <c r="M114" s="19"/>
      <c r="N114" s="19"/>
      <c r="O114" s="19"/>
      <c r="P114" s="19"/>
      <c r="Q114" s="29"/>
    </row>
    <row r="115" spans="1:17" x14ac:dyDescent="0.25">
      <c r="A115" s="156" t="s">
        <v>175</v>
      </c>
      <c r="B115" s="19"/>
      <c r="C115" s="19"/>
      <c r="D115" s="19"/>
      <c r="E115" s="19"/>
      <c r="F115" s="19"/>
      <c r="G115" s="19"/>
      <c r="H115" s="19"/>
      <c r="I115" s="19"/>
      <c r="J115" s="19"/>
      <c r="K115" s="19"/>
      <c r="L115" s="19"/>
      <c r="M115" s="19"/>
      <c r="N115" s="19"/>
      <c r="O115" s="19"/>
      <c r="P115" s="19"/>
      <c r="Q115" s="29"/>
    </row>
    <row r="116" spans="1:17" x14ac:dyDescent="0.25">
      <c r="A116" s="155" t="s">
        <v>213</v>
      </c>
      <c r="B116" s="19"/>
      <c r="C116" s="19"/>
      <c r="D116" s="19"/>
      <c r="E116" s="19"/>
      <c r="F116" s="19"/>
      <c r="G116" s="19"/>
      <c r="H116" s="19"/>
      <c r="I116" s="19"/>
      <c r="J116" s="19"/>
      <c r="K116" s="19"/>
      <c r="L116" s="19"/>
      <c r="M116" s="19"/>
      <c r="N116" s="19"/>
      <c r="O116" s="19"/>
      <c r="P116" s="19"/>
      <c r="Q116" s="29"/>
    </row>
    <row r="117" spans="1:17" x14ac:dyDescent="0.25">
      <c r="A117" s="155" t="s">
        <v>190</v>
      </c>
      <c r="B117" s="19"/>
      <c r="C117" s="19"/>
      <c r="D117" s="19"/>
      <c r="E117" s="19"/>
      <c r="F117" s="19"/>
      <c r="G117" s="19"/>
      <c r="H117" s="19"/>
      <c r="I117" s="19"/>
      <c r="J117" s="19"/>
      <c r="K117" s="19"/>
      <c r="L117" s="19"/>
      <c r="M117" s="19"/>
      <c r="N117" s="19"/>
      <c r="O117" s="19"/>
      <c r="P117" s="19"/>
      <c r="Q117" s="29"/>
    </row>
    <row r="118" spans="1:17" x14ac:dyDescent="0.25">
      <c r="A118" s="156" t="s">
        <v>180</v>
      </c>
      <c r="B118" s="19"/>
      <c r="C118" s="19"/>
      <c r="D118" s="19"/>
      <c r="E118" s="19"/>
      <c r="F118" s="19"/>
      <c r="G118" s="19"/>
      <c r="H118" s="19"/>
      <c r="I118" s="19"/>
      <c r="J118" s="19"/>
      <c r="K118" s="19"/>
      <c r="L118" s="19"/>
      <c r="M118" s="19"/>
      <c r="N118" s="19"/>
      <c r="O118" s="19"/>
      <c r="P118" s="19"/>
      <c r="Q118" s="29"/>
    </row>
    <row r="119" spans="1:17" x14ac:dyDescent="0.25">
      <c r="A119" s="155" t="s">
        <v>215</v>
      </c>
      <c r="B119" s="19"/>
      <c r="C119" s="19"/>
      <c r="D119" s="19"/>
      <c r="E119" s="19"/>
      <c r="F119" s="19"/>
      <c r="G119" s="19"/>
      <c r="H119" s="19"/>
      <c r="I119" s="19"/>
      <c r="J119" s="19"/>
      <c r="K119" s="19"/>
      <c r="L119" s="19"/>
      <c r="M119" s="19"/>
      <c r="N119" s="19"/>
      <c r="O119" s="19"/>
      <c r="P119" s="19"/>
      <c r="Q119" s="29"/>
    </row>
    <row r="120" spans="1:17" x14ac:dyDescent="0.25">
      <c r="A120" s="155" t="s">
        <v>183</v>
      </c>
      <c r="B120" s="19"/>
      <c r="C120" s="19"/>
      <c r="D120" s="19"/>
      <c r="E120" s="19"/>
      <c r="F120" s="19"/>
      <c r="G120" s="19"/>
      <c r="H120" s="19"/>
      <c r="I120" s="19"/>
      <c r="J120" s="19"/>
      <c r="K120" s="19"/>
      <c r="L120" s="19"/>
      <c r="M120" s="19"/>
      <c r="N120" s="19"/>
      <c r="O120" s="19"/>
      <c r="P120" s="19"/>
      <c r="Q120" s="29"/>
    </row>
    <row r="121" spans="1:17" ht="13.8" thickBot="1" x14ac:dyDescent="0.3">
      <c r="A121" s="33"/>
      <c r="B121" s="34"/>
      <c r="C121" s="34"/>
      <c r="D121" s="34"/>
      <c r="E121" s="34"/>
      <c r="F121" s="34"/>
      <c r="G121" s="34"/>
      <c r="H121" s="34"/>
      <c r="I121" s="34"/>
      <c r="J121" s="34"/>
      <c r="K121" s="34"/>
      <c r="L121" s="34"/>
      <c r="M121" s="34"/>
      <c r="N121" s="34"/>
      <c r="O121" s="34"/>
      <c r="P121" s="34"/>
      <c r="Q121" s="35"/>
    </row>
  </sheetData>
  <sheetProtection algorithmName="SHA-512" hashValue="5pw+Jca1103UFbRZLqhz1kF2GrsKjlQT6ymnonKnPLD/2rrQcS6Fl8aGy5BJSIc2DvCj4CGSeslXPpO2sI52/w==" saltValue="x1/gDgwBe5ZicL6IkDW6dQ==" spinCount="100000" sheet="1" selectLockedCells="1"/>
  <mergeCells count="123">
    <mergeCell ref="G87:I87"/>
    <mergeCell ref="C77:C85"/>
    <mergeCell ref="D77:E77"/>
    <mergeCell ref="G77:I77"/>
    <mergeCell ref="D78:E78"/>
    <mergeCell ref="G78:I78"/>
    <mergeCell ref="D79:E79"/>
    <mergeCell ref="G79:I79"/>
    <mergeCell ref="D80:E80"/>
    <mergeCell ref="G80:I80"/>
    <mergeCell ref="G81:I81"/>
    <mergeCell ref="D82:E82"/>
    <mergeCell ref="G82:I82"/>
    <mergeCell ref="D83:E83"/>
    <mergeCell ref="G83:I83"/>
    <mergeCell ref="D84:E84"/>
    <mergeCell ref="D86:E86"/>
    <mergeCell ref="D66:E66"/>
    <mergeCell ref="D67:E67"/>
    <mergeCell ref="G60:I60"/>
    <mergeCell ref="D81:E81"/>
    <mergeCell ref="A44:E44"/>
    <mergeCell ref="G44:H44"/>
    <mergeCell ref="A40:E40"/>
    <mergeCell ref="G84:I84"/>
    <mergeCell ref="A47:Q47"/>
    <mergeCell ref="A73:B76"/>
    <mergeCell ref="C73:C76"/>
    <mergeCell ref="A59:B68"/>
    <mergeCell ref="C59:C68"/>
    <mergeCell ref="J44:N44"/>
    <mergeCell ref="D71:E71"/>
    <mergeCell ref="D73:E73"/>
    <mergeCell ref="D74:E74"/>
    <mergeCell ref="A48:B48"/>
    <mergeCell ref="G48:I48"/>
    <mergeCell ref="A49:B58"/>
    <mergeCell ref="C49:C58"/>
    <mergeCell ref="G49:I49"/>
    <mergeCell ref="G50:I50"/>
    <mergeCell ref="G57:I57"/>
    <mergeCell ref="D54:E54"/>
    <mergeCell ref="A29:Q32"/>
    <mergeCell ref="A34:Q37"/>
    <mergeCell ref="A2:Q2"/>
    <mergeCell ref="A3:Q3"/>
    <mergeCell ref="A5:Q5"/>
    <mergeCell ref="C7:F7"/>
    <mergeCell ref="O7:P7"/>
    <mergeCell ref="C8:F8"/>
    <mergeCell ref="O8:P8"/>
    <mergeCell ref="G66:I66"/>
    <mergeCell ref="G51:I51"/>
    <mergeCell ref="D63:E63"/>
    <mergeCell ref="D55:E55"/>
    <mergeCell ref="G55:I55"/>
    <mergeCell ref="D56:E56"/>
    <mergeCell ref="G56:I56"/>
    <mergeCell ref="A39:Q39"/>
    <mergeCell ref="J42:N42"/>
    <mergeCell ref="P42:Q42"/>
    <mergeCell ref="G40:H40"/>
    <mergeCell ref="J40:N40"/>
    <mergeCell ref="G42:H42"/>
    <mergeCell ref="P40:Q40"/>
    <mergeCell ref="A42:E42"/>
    <mergeCell ref="D59:E59"/>
    <mergeCell ref="D60:E60"/>
    <mergeCell ref="D61:E61"/>
    <mergeCell ref="D62:E62"/>
    <mergeCell ref="D49:E49"/>
    <mergeCell ref="D50:E50"/>
    <mergeCell ref="D51:E51"/>
    <mergeCell ref="D52:E52"/>
    <mergeCell ref="D53:E53"/>
    <mergeCell ref="G73:I73"/>
    <mergeCell ref="D57:E57"/>
    <mergeCell ref="D88:E88"/>
    <mergeCell ref="G88:I88"/>
    <mergeCell ref="D85:M85"/>
    <mergeCell ref="D87:E87"/>
    <mergeCell ref="P44:Q44"/>
    <mergeCell ref="G75:I75"/>
    <mergeCell ref="D58:M58"/>
    <mergeCell ref="D68:M68"/>
    <mergeCell ref="D72:M72"/>
    <mergeCell ref="G61:I61"/>
    <mergeCell ref="G62:I62"/>
    <mergeCell ref="G63:I63"/>
    <mergeCell ref="G69:I69"/>
    <mergeCell ref="G70:I70"/>
    <mergeCell ref="D75:E75"/>
    <mergeCell ref="D69:E69"/>
    <mergeCell ref="D70:E70"/>
    <mergeCell ref="G52:I52"/>
    <mergeCell ref="G53:I53"/>
    <mergeCell ref="G54:I54"/>
    <mergeCell ref="G74:I74"/>
    <mergeCell ref="G59:I59"/>
    <mergeCell ref="D94:M94"/>
    <mergeCell ref="G67:I67"/>
    <mergeCell ref="D64:E64"/>
    <mergeCell ref="G64:I64"/>
    <mergeCell ref="D65:E65"/>
    <mergeCell ref="G65:I65"/>
    <mergeCell ref="A86:B94"/>
    <mergeCell ref="A69:B72"/>
    <mergeCell ref="C69:C72"/>
    <mergeCell ref="C86:C94"/>
    <mergeCell ref="G86:I86"/>
    <mergeCell ref="G93:I93"/>
    <mergeCell ref="A77:B85"/>
    <mergeCell ref="D93:E93"/>
    <mergeCell ref="D76:M76"/>
    <mergeCell ref="D89:E89"/>
    <mergeCell ref="G89:I89"/>
    <mergeCell ref="D90:E90"/>
    <mergeCell ref="G90:I90"/>
    <mergeCell ref="D91:E91"/>
    <mergeCell ref="G91:I91"/>
    <mergeCell ref="D92:E92"/>
    <mergeCell ref="G92:I92"/>
    <mergeCell ref="G71:I71"/>
  </mergeCells>
  <conditionalFormatting sqref="O94">
    <cfRule type="expression" dxfId="214" priority="52">
      <formula>O94&gt;C86</formula>
    </cfRule>
  </conditionalFormatting>
  <conditionalFormatting sqref="Q49 Q94">
    <cfRule type="expression" dxfId="213" priority="51">
      <formula>Q49&gt;N49</formula>
    </cfRule>
  </conditionalFormatting>
  <conditionalFormatting sqref="Q50 Q57:Q58">
    <cfRule type="expression" dxfId="212" priority="50">
      <formula>Q50&gt;N50</formula>
    </cfRule>
  </conditionalFormatting>
  <conditionalFormatting sqref="Q59">
    <cfRule type="expression" dxfId="211" priority="49">
      <formula>Q59&gt;N59</formula>
    </cfRule>
  </conditionalFormatting>
  <conditionalFormatting sqref="Q66:Q68">
    <cfRule type="expression" dxfId="210" priority="48">
      <formula>Q66&gt;N66</formula>
    </cfRule>
  </conditionalFormatting>
  <conditionalFormatting sqref="O68">
    <cfRule type="expression" dxfId="209" priority="44">
      <formula>O68&gt;C59</formula>
    </cfRule>
  </conditionalFormatting>
  <conditionalFormatting sqref="O72">
    <cfRule type="expression" dxfId="208" priority="42">
      <formula>O72&gt;C69</formula>
    </cfRule>
  </conditionalFormatting>
  <conditionalFormatting sqref="Q69">
    <cfRule type="expression" dxfId="207" priority="41">
      <formula>Q69&gt;N69</formula>
    </cfRule>
  </conditionalFormatting>
  <conditionalFormatting sqref="Q70:Q72">
    <cfRule type="expression" dxfId="206" priority="40">
      <formula>Q70&gt;N70</formula>
    </cfRule>
  </conditionalFormatting>
  <conditionalFormatting sqref="O76">
    <cfRule type="expression" dxfId="205" priority="39">
      <formula>O76&gt;C73</formula>
    </cfRule>
  </conditionalFormatting>
  <conditionalFormatting sqref="Q73">
    <cfRule type="expression" dxfId="204" priority="38">
      <formula>Q73&gt;N73</formula>
    </cfRule>
  </conditionalFormatting>
  <conditionalFormatting sqref="Q74:Q76">
    <cfRule type="expression" dxfId="203" priority="37">
      <formula>Q74&gt;N74</formula>
    </cfRule>
  </conditionalFormatting>
  <conditionalFormatting sqref="O58">
    <cfRule type="expression" dxfId="202" priority="67">
      <formula>O58&gt;C49</formula>
    </cfRule>
  </conditionalFormatting>
  <conditionalFormatting sqref="Q51:Q54">
    <cfRule type="expression" dxfId="201" priority="29">
      <formula>Q51&gt;N51</formula>
    </cfRule>
  </conditionalFormatting>
  <conditionalFormatting sqref="Q60:Q63">
    <cfRule type="expression" dxfId="200" priority="28">
      <formula>Q60&gt;N60</formula>
    </cfRule>
  </conditionalFormatting>
  <conditionalFormatting sqref="K93:L93 K73:L75 K69:L71 K59:L63 K49:L54 K57:L57 K66:L67">
    <cfRule type="expression" dxfId="199" priority="26">
      <formula>K49="No"</formula>
    </cfRule>
  </conditionalFormatting>
  <conditionalFormatting sqref="O85">
    <cfRule type="expression" dxfId="198" priority="21">
      <formula>O85&gt;C77</formula>
    </cfRule>
  </conditionalFormatting>
  <conditionalFormatting sqref="Q77">
    <cfRule type="expression" dxfId="197" priority="20">
      <formula>Q77&gt;N77</formula>
    </cfRule>
  </conditionalFormatting>
  <conditionalFormatting sqref="Q78 Q84:Q85">
    <cfRule type="expression" dxfId="196" priority="19">
      <formula>Q78&gt;N78</formula>
    </cfRule>
  </conditionalFormatting>
  <conditionalFormatting sqref="Q79:Q80 Q83">
    <cfRule type="expression" dxfId="195" priority="18">
      <formula>Q79&gt;N79</formula>
    </cfRule>
  </conditionalFormatting>
  <conditionalFormatting sqref="K77:L80 K83:L84">
    <cfRule type="expression" dxfId="194" priority="17">
      <formula>K77="No"</formula>
    </cfRule>
  </conditionalFormatting>
  <conditionalFormatting sqref="Q81">
    <cfRule type="expression" dxfId="193" priority="16">
      <formula>Q81&gt;N81</formula>
    </cfRule>
  </conditionalFormatting>
  <conditionalFormatting sqref="K81:L81">
    <cfRule type="expression" dxfId="192" priority="15">
      <formula>K81="No"</formula>
    </cfRule>
  </conditionalFormatting>
  <conditionalFormatting sqref="Q82">
    <cfRule type="expression" dxfId="191" priority="14">
      <formula>Q82&gt;N82</formula>
    </cfRule>
  </conditionalFormatting>
  <conditionalFormatting sqref="K82:L82">
    <cfRule type="expression" dxfId="190" priority="13">
      <formula>K82="No"</formula>
    </cfRule>
  </conditionalFormatting>
  <conditionalFormatting sqref="K87:L87">
    <cfRule type="expression" dxfId="189" priority="11">
      <formula>K87="No"</formula>
    </cfRule>
  </conditionalFormatting>
  <conditionalFormatting sqref="Q87">
    <cfRule type="expression" dxfId="188" priority="10">
      <formula>Q87&gt;N87</formula>
    </cfRule>
  </conditionalFormatting>
  <conditionalFormatting sqref="Q93">
    <cfRule type="expression" dxfId="187" priority="9">
      <formula>Q93&gt;N93</formula>
    </cfRule>
  </conditionalFormatting>
  <conditionalFormatting sqref="Q86">
    <cfRule type="expression" dxfId="186" priority="8">
      <formula>Q86&gt;N86</formula>
    </cfRule>
  </conditionalFormatting>
  <conditionalFormatting sqref="K86:L86">
    <cfRule type="expression" dxfId="185" priority="7">
      <formula>K86="No"</formula>
    </cfRule>
  </conditionalFormatting>
  <conditionalFormatting sqref="K88:L92">
    <cfRule type="expression" dxfId="184" priority="6">
      <formula>K88="No"</formula>
    </cfRule>
  </conditionalFormatting>
  <conditionalFormatting sqref="Q88:Q92">
    <cfRule type="expression" dxfId="183" priority="5">
      <formula>Q88&gt;N88</formula>
    </cfRule>
  </conditionalFormatting>
  <conditionalFormatting sqref="Q55:Q56">
    <cfRule type="expression" dxfId="182" priority="4">
      <formula>Q55&gt;N55</formula>
    </cfRule>
  </conditionalFormatting>
  <conditionalFormatting sqref="K55:L56">
    <cfRule type="expression" dxfId="181" priority="3">
      <formula>K55="No"</formula>
    </cfRule>
  </conditionalFormatting>
  <conditionalFormatting sqref="Q64:Q65">
    <cfRule type="expression" dxfId="180" priority="2">
      <formula>Q64&gt;N64</formula>
    </cfRule>
  </conditionalFormatting>
  <conditionalFormatting sqref="K64:L65">
    <cfRule type="expression" dxfId="179" priority="1">
      <formula>K64="No"</formula>
    </cfRule>
  </conditionalFormatting>
  <pageMargins left="0" right="0" top="0" bottom="0.5" header="0.5" footer="0.25"/>
  <pageSetup scale="73" fitToHeight="0" orientation="landscape" verticalDpi="4294967292" r:id="rId1"/>
  <headerFooter>
    <oddFooter>&amp;LPrinted at &amp;T on &amp;D&amp;RPage &amp;P of &amp;N</oddFooter>
  </headerFooter>
  <rowBreaks count="3" manualBreakCount="3">
    <brk id="76" max="16383" man="1"/>
    <brk id="27" max="16383" man="1"/>
    <brk id="95"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Tables!$Q$2:$Q$7</xm:f>
          </x14:formula1>
          <xm:sqref>C7</xm:sqref>
        </x14:dataValidation>
        <x14:dataValidation type="list" allowBlank="1" showInputMessage="1" showErrorMessage="1" xr:uid="{00000000-0002-0000-0300-000001000000}">
          <x14:formula1>
            <xm:f>Tables!$C$3:$C$22</xm:f>
          </x14:formula1>
          <xm:sqref>M86:M93 M69:M71 M73:M75 M49:M57 M77:M84 M59:M67</xm:sqref>
        </x14:dataValidation>
        <x14:dataValidation type="list" allowBlank="1" showInputMessage="1" showErrorMessage="1" xr:uid="{00000000-0002-0000-0300-000002000000}">
          <x14:formula1>
            <xm:f>Tables!$O$21:$O$23</xm:f>
          </x14:formula1>
          <xm:sqref>K86:K93 K49:K57 K69:K71 K73:K75 K77:K84 K59:K67</xm:sqref>
        </x14:dataValidation>
        <x14:dataValidation type="list" allowBlank="1" showInputMessage="1" showErrorMessage="1" xr:uid="{00000000-0002-0000-0300-000003000000}">
          <x14:formula1>
            <xm:f>Tables!$Q$21:$Q$23</xm:f>
          </x14:formula1>
          <xm:sqref>L86:L93 L49:L57 L69:L71 L73:L75 L77:L84 L59:L67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29</vt:i4>
      </vt:variant>
    </vt:vector>
  </HeadingPairs>
  <TitlesOfParts>
    <vt:vector size="46" baseType="lpstr">
      <vt:lpstr>HS - Positions and Funding</vt:lpstr>
      <vt:lpstr>HS - Lane and Step Schedule</vt:lpstr>
      <vt:lpstr>JHS - Positions and Funding</vt:lpstr>
      <vt:lpstr>HS - Fall Sports</vt:lpstr>
      <vt:lpstr>HS - Fall Activities</vt:lpstr>
      <vt:lpstr>HS - Year Round Sports</vt:lpstr>
      <vt:lpstr>HS - Year Round Activities</vt:lpstr>
      <vt:lpstr>HS - Oversight</vt:lpstr>
      <vt:lpstr>HS - Winter Sports</vt:lpstr>
      <vt:lpstr>HS - Winter Activities</vt:lpstr>
      <vt:lpstr>HS - Spring Sports</vt:lpstr>
      <vt:lpstr>JHS - Fall Sports</vt:lpstr>
      <vt:lpstr>JHS - Year Round Activities</vt:lpstr>
      <vt:lpstr>JHS - Oversight</vt:lpstr>
      <vt:lpstr>JHS - Winter Sports</vt:lpstr>
      <vt:lpstr>JHS - Spring Sports</vt:lpstr>
      <vt:lpstr>Tables</vt:lpstr>
      <vt:lpstr>'HS - Fall Activities'!Print_Area</vt:lpstr>
      <vt:lpstr>'HS - Fall Sports'!Print_Area</vt:lpstr>
      <vt:lpstr>'HS - Lane and Step Schedule'!Print_Area</vt:lpstr>
      <vt:lpstr>'HS - Oversight'!Print_Area</vt:lpstr>
      <vt:lpstr>'HS - Spring Sports'!Print_Area</vt:lpstr>
      <vt:lpstr>'HS - Winter Activities'!Print_Area</vt:lpstr>
      <vt:lpstr>'HS - Winter Sports'!Print_Area</vt:lpstr>
      <vt:lpstr>'HS - Year Round Activities'!Print_Area</vt:lpstr>
      <vt:lpstr>'HS - Year Round Sports'!Print_Area</vt:lpstr>
      <vt:lpstr>'JHS - Fall Sports'!Print_Area</vt:lpstr>
      <vt:lpstr>'JHS - Oversight'!Print_Area</vt:lpstr>
      <vt:lpstr>'JHS - Spring Sports'!Print_Area</vt:lpstr>
      <vt:lpstr>'JHS - Winter Sports'!Print_Area</vt:lpstr>
      <vt:lpstr>'JHS - Year Round Activities'!Print_Area</vt:lpstr>
      <vt:lpstr>'HS - Fall Activities'!Print_Titles</vt:lpstr>
      <vt:lpstr>'HS - Fall Sports'!Print_Titles</vt:lpstr>
      <vt:lpstr>'HS - Oversight'!Print_Titles</vt:lpstr>
      <vt:lpstr>'HS - Positions and Funding'!Print_Titles</vt:lpstr>
      <vt:lpstr>'HS - Spring Sports'!Print_Titles</vt:lpstr>
      <vt:lpstr>'HS - Winter Activities'!Print_Titles</vt:lpstr>
      <vt:lpstr>'HS - Winter Sports'!Print_Titles</vt:lpstr>
      <vt:lpstr>'HS - Year Round Activities'!Print_Titles</vt:lpstr>
      <vt:lpstr>'HS - Year Round Sports'!Print_Titles</vt:lpstr>
      <vt:lpstr>'JHS - Fall Sports'!Print_Titles</vt:lpstr>
      <vt:lpstr>'JHS - Oversight'!Print_Titles</vt:lpstr>
      <vt:lpstr>'JHS - Positions and Funding'!Print_Titles</vt:lpstr>
      <vt:lpstr>'JHS - Spring Sports'!Print_Titles</vt:lpstr>
      <vt:lpstr>'JHS - Winter Sports'!Print_Titles</vt:lpstr>
      <vt:lpstr>'JHS - Year Round Activities'!Print_Titles</vt:lpstr>
    </vt:vector>
  </TitlesOfParts>
  <Company>Nebo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Harrison</dc:creator>
  <cp:lastModifiedBy>Michael Harrison</cp:lastModifiedBy>
  <cp:lastPrinted>2024-02-27T15:20:25Z</cp:lastPrinted>
  <dcterms:created xsi:type="dcterms:W3CDTF">2014-06-23T14:31:30Z</dcterms:created>
  <dcterms:modified xsi:type="dcterms:W3CDTF">2024-02-27T15:22:35Z</dcterms:modified>
</cp:coreProperties>
</file>